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返済計算" sheetId="1" state="visible" r:id="rId1"/>
    <sheet xmlns:r="http://schemas.openxmlformats.org/officeDocument/2006/relationships" name="利息制限法早見表" sheetId="2" state="visible" r:id="rId2"/>
    <sheet xmlns:r="http://schemas.openxmlformats.org/officeDocument/2006/relationships" name="関係者マスタ" sheetId="3" state="visible" r:id="rId3"/>
    <sheet xmlns:r="http://schemas.openxmlformats.org/officeDocument/2006/relationships" name="使い方" sheetId="4" state="visible" r:id="rId4"/>
  </sheets>
  <definedNames/>
  <calcPr calcId="124519" fullCalcOnLoad="1"/>
</workbook>
</file>

<file path=xl/styles.xml><?xml version="1.0" encoding="utf-8"?>
<styleSheet xmlns="http://schemas.openxmlformats.org/spreadsheetml/2006/main">
  <numFmts count="1">
    <numFmt numFmtId="164" formatCode="yyyy/m/d"/>
  </numFmts>
  <fonts count="6">
    <font>
      <name val="Calibri"/>
      <family val="2"/>
      <color theme="1"/>
      <sz val="11"/>
      <scheme val="minor"/>
    </font>
    <font>
      <name val="ＭＳ Ｐゴシック"/>
      <b val="1"/>
      <color rgb="001F4E79"/>
      <sz val="18"/>
    </font>
    <font>
      <name val="ＭＳ Ｐゴシック"/>
      <b val="1"/>
      <color rgb="00000000"/>
      <sz val="11"/>
    </font>
    <font>
      <name val="ＭＳ Ｐゴシック"/>
      <b val="1"/>
      <color rgb="00C0392B"/>
      <sz val="11"/>
    </font>
    <font>
      <name val="ＭＳ Ｐゴシック"/>
      <b val="1"/>
      <color rgb="00FFFFFF"/>
      <sz val="11"/>
    </font>
    <font>
      <name val="ＭＳ Ｐゴシック"/>
      <b val="1"/>
      <color rgb="001F4E79"/>
      <sz val="16"/>
    </font>
  </fonts>
  <fills count="4">
    <fill>
      <patternFill/>
    </fill>
    <fill>
      <patternFill patternType="gray125"/>
    </fill>
    <fill>
      <patternFill patternType="solid">
        <fgColor rgb="00E8F0FE"/>
      </patternFill>
    </fill>
    <fill>
      <patternFill patternType="solid">
        <fgColor rgb="004A6FA5"/>
      </patternFill>
    </fill>
  </fills>
  <borders count="2">
    <border>
      <left/>
      <right/>
      <top/>
      <bottom/>
      <diagonal/>
    </border>
    <border>
      <left style="thin">
        <color rgb="00000000"/>
      </left>
      <right style="thin">
        <color rgb="00000000"/>
      </right>
      <top style="thin">
        <color rgb="00000000"/>
      </top>
      <bottom style="thin">
        <color rgb="00000000"/>
      </bottom>
    </border>
  </borders>
  <cellStyleXfs count="1">
    <xf numFmtId="0" fontId="0" fillId="0" borderId="0"/>
  </cellStyleXfs>
  <cellXfs count="16">
    <xf numFmtId="0" fontId="0" fillId="0" borderId="0" pivotButton="0" quotePrefix="0" xfId="0"/>
    <xf numFmtId="0" fontId="1" fillId="0" borderId="0" applyAlignment="1" pivotButton="0" quotePrefix="0" xfId="0">
      <alignment horizontal="center" vertical="center" wrapText="1"/>
    </xf>
    <xf numFmtId="0" fontId="2" fillId="2" borderId="0" applyAlignment="1" pivotButton="0" quotePrefix="0" xfId="0">
      <alignment horizontal="left" vertical="center" wrapText="1"/>
    </xf>
    <xf numFmtId="0" fontId="0" fillId="0" borderId="0" applyAlignment="1" pivotButton="0" quotePrefix="0" xfId="0">
      <alignment horizontal="left" vertical="center" wrapText="1"/>
    </xf>
    <xf numFmtId="0" fontId="3" fillId="0" borderId="0" applyAlignment="1" pivotButton="0" quotePrefix="0" xfId="0">
      <alignment horizontal="left" vertical="center" wrapText="1"/>
    </xf>
    <xf numFmtId="0" fontId="2" fillId="0" borderId="0" applyAlignment="1" pivotButton="0" quotePrefix="0" xfId="0">
      <alignment horizontal="right"/>
    </xf>
    <xf numFmtId="0" fontId="3" fillId="0" borderId="0" applyAlignment="1" pivotButton="0" quotePrefix="0" xfId="0">
      <alignment horizontal="center" vertical="center" wrapText="1"/>
    </xf>
    <xf numFmtId="0" fontId="2" fillId="0" borderId="0" pivotButton="0" quotePrefix="0" xfId="0"/>
    <xf numFmtId="0" fontId="0" fillId="0" borderId="0" applyAlignment="1" pivotButton="0" quotePrefix="0" xfId="0">
      <alignment horizontal="center" vertical="center" wrapText="1"/>
    </xf>
    <xf numFmtId="0" fontId="4" fillId="3" borderId="1" applyAlignment="1" pivotButton="0" quotePrefix="0" xfId="0">
      <alignment horizontal="center" vertical="center" wrapText="1"/>
    </xf>
    <xf numFmtId="0" fontId="0" fillId="0" borderId="1" applyAlignment="1" pivotButton="0" quotePrefix="0" xfId="0">
      <alignment horizontal="center" vertical="center" wrapText="1"/>
    </xf>
    <xf numFmtId="164" fontId="0" fillId="0" borderId="1" applyAlignment="1" pivotButton="0" quotePrefix="0" xfId="0">
      <alignment horizontal="center" vertical="center" wrapText="1"/>
    </xf>
    <xf numFmtId="3" fontId="0" fillId="0" borderId="1" applyAlignment="1" pivotButton="0" quotePrefix="0" xfId="0">
      <alignment horizontal="center" vertical="center" wrapText="1"/>
    </xf>
    <xf numFmtId="0" fontId="5" fillId="0" borderId="0" applyAlignment="1" pivotButton="0" quotePrefix="0" xfId="0">
      <alignment horizontal="center" vertical="center" wrapText="1"/>
    </xf>
    <xf numFmtId="0" fontId="0" fillId="0" borderId="1" applyAlignment="1" pivotButton="0" quotePrefix="0" xfId="0">
      <alignment horizontal="left" vertical="center" wrapText="1"/>
    </xf>
    <xf numFmtId="0" fontId="5" fillId="0" borderId="0" pivotButton="0" quotePrefix="0" xfId="0"/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worksheet" Target="/xl/worksheets/sheet3.xml" Id="rId3"/><Relationship Type="http://schemas.openxmlformats.org/officeDocument/2006/relationships/worksheet" Target="/xl/worksheets/sheet4.xml" Id="rId4"/><Relationship Type="http://schemas.openxmlformats.org/officeDocument/2006/relationships/styles" Target="styles.xml" Id="rId5"/><Relationship Type="http://schemas.openxmlformats.org/officeDocument/2006/relationships/theme" Target="theme/theme1.xml" Id="rId6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 fitToPage="1"/>
  </sheetPr>
  <dimension ref="A1:H78"/>
  <sheetViews>
    <sheetView workbookViewId="0">
      <selection activeCell="A1" sqref="A1"/>
    </sheetView>
  </sheetViews>
  <sheetFormatPr baseColWidth="8" defaultRowHeight="15"/>
  <cols>
    <col width="4" customWidth="1" min="1" max="1"/>
    <col width="14" customWidth="1" min="2" max="2"/>
    <col width="14" customWidth="1" min="3" max="3"/>
    <col width="14" customWidth="1" min="4" max="4"/>
    <col width="14" customWidth="1" min="5" max="5"/>
    <col width="14" customWidth="1" min="6" max="6"/>
    <col width="14" customWidth="1" min="7" max="7"/>
    <col width="14" customWidth="1" min="8" max="8"/>
  </cols>
  <sheetData>
    <row r="1" ht="32" customHeight="1">
      <c r="A1" s="1" t="inlineStr">
        <is>
          <t>連帯保証付き借用書 元利金返済計算シート（利息制限法対応）</t>
        </is>
      </c>
    </row>
    <row r="3">
      <c r="B3" s="2" t="inlineStr">
        <is>
          <t>貸付金額（円）</t>
        </is>
      </c>
      <c r="D3" s="3" t="n">
        <v>1000000</v>
      </c>
    </row>
    <row r="4">
      <c r="B4" s="2" t="inlineStr">
        <is>
          <t>年利率（%・利息制限法上限以下）</t>
        </is>
      </c>
      <c r="D4" s="3" t="n">
        <v>15</v>
      </c>
    </row>
    <row r="5">
      <c r="B5" s="2" t="inlineStr">
        <is>
          <t>貸付期間（月）</t>
        </is>
      </c>
      <c r="D5" s="3" t="n">
        <v>60</v>
      </c>
    </row>
    <row r="6">
      <c r="B6" s="2" t="inlineStr">
        <is>
          <t>貸付日</t>
        </is>
      </c>
      <c r="D6" s="3" t="inlineStr">
        <is>
          <t>2026-05-12</t>
        </is>
      </c>
    </row>
    <row r="7">
      <c r="B7" s="2" t="inlineStr">
        <is>
          <t>初回返済日</t>
        </is>
      </c>
      <c r="D7" s="3" t="inlineStr">
        <is>
          <t>2026-06-12</t>
        </is>
      </c>
    </row>
    <row r="8">
      <c r="B8" s="2" t="inlineStr">
        <is>
          <t>返済方式（1=元利均等 / 2=元金均等）</t>
        </is>
      </c>
      <c r="D8" s="3" t="n">
        <v>1</v>
      </c>
    </row>
    <row r="10">
      <c r="A10" s="4" t="inlineStr">
        <is>
          <t>★利息制限法上限金利</t>
        </is>
      </c>
    </row>
    <row r="11">
      <c r="A11" s="3" t="inlineStr">
        <is>
          <t>・10万円未満：年20.0%</t>
        </is>
      </c>
    </row>
    <row r="12">
      <c r="A12" s="3" t="inlineStr">
        <is>
          <t>・10万円以上100万円未満：年18.0%</t>
        </is>
      </c>
    </row>
    <row r="13">
      <c r="A13" s="3" t="inlineStr">
        <is>
          <t>・100万円以上：年15.0%</t>
        </is>
      </c>
    </row>
    <row r="14">
      <c r="A14" s="3" t="inlineStr">
        <is>
          <t>※遅延損害金は上記利率の1.46倍（個人間）／1.5倍（業者）まで</t>
        </is>
      </c>
    </row>
    <row r="16">
      <c r="A16" s="5" t="inlineStr">
        <is>
          <t>毎月返済額（円）</t>
        </is>
      </c>
      <c r="B16" s="6">
        <f>ROUND(PMT(D4/100/12, D5, -D3), 0)</f>
        <v/>
      </c>
      <c r="D16" s="7" t="inlineStr">
        <is>
          <t>総返済額（円）</t>
        </is>
      </c>
      <c r="E16" s="8">
        <f>B16*D5</f>
        <v/>
      </c>
      <c r="F16" s="7" t="inlineStr">
        <is>
          <t>総利息額（円）</t>
        </is>
      </c>
      <c r="G16" s="8">
        <f>E16-D3</f>
        <v/>
      </c>
    </row>
    <row r="18" ht="22" customHeight="1">
      <c r="A18" s="9" t="inlineStr">
        <is>
          <t>回</t>
        </is>
      </c>
      <c r="B18" s="9" t="inlineStr">
        <is>
          <t>返済日</t>
        </is>
      </c>
      <c r="C18" s="9" t="inlineStr">
        <is>
          <t>返済額</t>
        </is>
      </c>
      <c r="D18" s="9" t="inlineStr">
        <is>
          <t>元金充当</t>
        </is>
      </c>
      <c r="E18" s="9" t="inlineStr">
        <is>
          <t>利息充当</t>
        </is>
      </c>
      <c r="F18" s="9" t="inlineStr">
        <is>
          <t>残元金</t>
        </is>
      </c>
      <c r="G18" s="9" t="inlineStr">
        <is>
          <t>累計返済</t>
        </is>
      </c>
      <c r="H18" s="9" t="inlineStr">
        <is>
          <t>累計利息</t>
        </is>
      </c>
    </row>
    <row r="19">
      <c r="A19" s="10" t="n">
        <v>1</v>
      </c>
      <c r="B19" s="11">
        <f>EDATE($D$7,0)</f>
        <v/>
      </c>
      <c r="C19" s="12">
        <f>IF(A19&lt;=$D$5,$B$16,"")</f>
        <v/>
      </c>
      <c r="D19" s="12">
        <f>IF(A19&lt;=$D$5,C19-E19,"")</f>
        <v/>
      </c>
      <c r="E19" s="12">
        <f>IF(A19&lt;=$D$5,ROUND($D$3*$D$4/100/12,0),"")</f>
        <v/>
      </c>
      <c r="F19" s="12">
        <f>IF(A19&lt;=$D$5,$D$3-D19,"")</f>
        <v/>
      </c>
      <c r="G19" s="12">
        <f>IF(A19&lt;=$D$5,C19,"")</f>
        <v/>
      </c>
      <c r="H19" s="12">
        <f>IF(A19&lt;=$D$5,E19,"")</f>
        <v/>
      </c>
    </row>
    <row r="20">
      <c r="A20" s="10" t="n">
        <v>2</v>
      </c>
      <c r="B20" s="11">
        <f>EDATE($D$7,1)</f>
        <v/>
      </c>
      <c r="C20" s="12">
        <f>IF(A20&lt;=$D$5,$B$16,"")</f>
        <v/>
      </c>
      <c r="D20" s="12">
        <f>IF(A20&lt;=$D$5,C20-E20,"")</f>
        <v/>
      </c>
      <c r="E20" s="12">
        <f>IF(A20&lt;=$D$5,ROUND(F19*$D$4/100/12,0),"")</f>
        <v/>
      </c>
      <c r="F20" s="12">
        <f>IF(A20&lt;=$D$5,F19-D20,"")</f>
        <v/>
      </c>
      <c r="G20" s="12">
        <f>IF(A20&lt;=$D$5,G19+C20,"")</f>
        <v/>
      </c>
      <c r="H20" s="12">
        <f>IF(A20&lt;=$D$5,H19+E20,"")</f>
        <v/>
      </c>
    </row>
    <row r="21">
      <c r="A21" s="10" t="n">
        <v>3</v>
      </c>
      <c r="B21" s="11">
        <f>EDATE($D$7,2)</f>
        <v/>
      </c>
      <c r="C21" s="12">
        <f>IF(A21&lt;=$D$5,$B$16,"")</f>
        <v/>
      </c>
      <c r="D21" s="12">
        <f>IF(A21&lt;=$D$5,C21-E21,"")</f>
        <v/>
      </c>
      <c r="E21" s="12">
        <f>IF(A21&lt;=$D$5,ROUND(F20*$D$4/100/12,0),"")</f>
        <v/>
      </c>
      <c r="F21" s="12">
        <f>IF(A21&lt;=$D$5,F20-D21,"")</f>
        <v/>
      </c>
      <c r="G21" s="12">
        <f>IF(A21&lt;=$D$5,G20+C21,"")</f>
        <v/>
      </c>
      <c r="H21" s="12">
        <f>IF(A21&lt;=$D$5,H20+E21,"")</f>
        <v/>
      </c>
    </row>
    <row r="22">
      <c r="A22" s="10" t="n">
        <v>4</v>
      </c>
      <c r="B22" s="11">
        <f>EDATE($D$7,3)</f>
        <v/>
      </c>
      <c r="C22" s="12">
        <f>IF(A22&lt;=$D$5,$B$16,"")</f>
        <v/>
      </c>
      <c r="D22" s="12">
        <f>IF(A22&lt;=$D$5,C22-E22,"")</f>
        <v/>
      </c>
      <c r="E22" s="12">
        <f>IF(A22&lt;=$D$5,ROUND(F21*$D$4/100/12,0),"")</f>
        <v/>
      </c>
      <c r="F22" s="12">
        <f>IF(A22&lt;=$D$5,F21-D22,"")</f>
        <v/>
      </c>
      <c r="G22" s="12">
        <f>IF(A22&lt;=$D$5,G21+C22,"")</f>
        <v/>
      </c>
      <c r="H22" s="12">
        <f>IF(A22&lt;=$D$5,H21+E22,"")</f>
        <v/>
      </c>
    </row>
    <row r="23">
      <c r="A23" s="10" t="n">
        <v>5</v>
      </c>
      <c r="B23" s="11">
        <f>EDATE($D$7,4)</f>
        <v/>
      </c>
      <c r="C23" s="12">
        <f>IF(A23&lt;=$D$5,$B$16,"")</f>
        <v/>
      </c>
      <c r="D23" s="12">
        <f>IF(A23&lt;=$D$5,C23-E23,"")</f>
        <v/>
      </c>
      <c r="E23" s="12">
        <f>IF(A23&lt;=$D$5,ROUND(F22*$D$4/100/12,0),"")</f>
        <v/>
      </c>
      <c r="F23" s="12">
        <f>IF(A23&lt;=$D$5,F22-D23,"")</f>
        <v/>
      </c>
      <c r="G23" s="12">
        <f>IF(A23&lt;=$D$5,G22+C23,"")</f>
        <v/>
      </c>
      <c r="H23" s="12">
        <f>IF(A23&lt;=$D$5,H22+E23,"")</f>
        <v/>
      </c>
    </row>
    <row r="24">
      <c r="A24" s="10" t="n">
        <v>6</v>
      </c>
      <c r="B24" s="11">
        <f>EDATE($D$7,5)</f>
        <v/>
      </c>
      <c r="C24" s="12">
        <f>IF(A24&lt;=$D$5,$B$16,"")</f>
        <v/>
      </c>
      <c r="D24" s="12">
        <f>IF(A24&lt;=$D$5,C24-E24,"")</f>
        <v/>
      </c>
      <c r="E24" s="12">
        <f>IF(A24&lt;=$D$5,ROUND(F23*$D$4/100/12,0),"")</f>
        <v/>
      </c>
      <c r="F24" s="12">
        <f>IF(A24&lt;=$D$5,F23-D24,"")</f>
        <v/>
      </c>
      <c r="G24" s="12">
        <f>IF(A24&lt;=$D$5,G23+C24,"")</f>
        <v/>
      </c>
      <c r="H24" s="12">
        <f>IF(A24&lt;=$D$5,H23+E24,"")</f>
        <v/>
      </c>
    </row>
    <row r="25">
      <c r="A25" s="10" t="n">
        <v>7</v>
      </c>
      <c r="B25" s="11">
        <f>EDATE($D$7,6)</f>
        <v/>
      </c>
      <c r="C25" s="12">
        <f>IF(A25&lt;=$D$5,$B$16,"")</f>
        <v/>
      </c>
      <c r="D25" s="12">
        <f>IF(A25&lt;=$D$5,C25-E25,"")</f>
        <v/>
      </c>
      <c r="E25" s="12">
        <f>IF(A25&lt;=$D$5,ROUND(F24*$D$4/100/12,0),"")</f>
        <v/>
      </c>
      <c r="F25" s="12">
        <f>IF(A25&lt;=$D$5,F24-D25,"")</f>
        <v/>
      </c>
      <c r="G25" s="12">
        <f>IF(A25&lt;=$D$5,G24+C25,"")</f>
        <v/>
      </c>
      <c r="H25" s="12">
        <f>IF(A25&lt;=$D$5,H24+E25,"")</f>
        <v/>
      </c>
    </row>
    <row r="26">
      <c r="A26" s="10" t="n">
        <v>8</v>
      </c>
      <c r="B26" s="11">
        <f>EDATE($D$7,7)</f>
        <v/>
      </c>
      <c r="C26" s="12">
        <f>IF(A26&lt;=$D$5,$B$16,"")</f>
        <v/>
      </c>
      <c r="D26" s="12">
        <f>IF(A26&lt;=$D$5,C26-E26,"")</f>
        <v/>
      </c>
      <c r="E26" s="12">
        <f>IF(A26&lt;=$D$5,ROUND(F25*$D$4/100/12,0),"")</f>
        <v/>
      </c>
      <c r="F26" s="12">
        <f>IF(A26&lt;=$D$5,F25-D26,"")</f>
        <v/>
      </c>
      <c r="G26" s="12">
        <f>IF(A26&lt;=$D$5,G25+C26,"")</f>
        <v/>
      </c>
      <c r="H26" s="12">
        <f>IF(A26&lt;=$D$5,H25+E26,"")</f>
        <v/>
      </c>
    </row>
    <row r="27">
      <c r="A27" s="10" t="n">
        <v>9</v>
      </c>
      <c r="B27" s="11">
        <f>EDATE($D$7,8)</f>
        <v/>
      </c>
      <c r="C27" s="12">
        <f>IF(A27&lt;=$D$5,$B$16,"")</f>
        <v/>
      </c>
      <c r="D27" s="12">
        <f>IF(A27&lt;=$D$5,C27-E27,"")</f>
        <v/>
      </c>
      <c r="E27" s="12">
        <f>IF(A27&lt;=$D$5,ROUND(F26*$D$4/100/12,0),"")</f>
        <v/>
      </c>
      <c r="F27" s="12">
        <f>IF(A27&lt;=$D$5,F26-D27,"")</f>
        <v/>
      </c>
      <c r="G27" s="12">
        <f>IF(A27&lt;=$D$5,G26+C27,"")</f>
        <v/>
      </c>
      <c r="H27" s="12">
        <f>IF(A27&lt;=$D$5,H26+E27,"")</f>
        <v/>
      </c>
    </row>
    <row r="28">
      <c r="A28" s="10" t="n">
        <v>10</v>
      </c>
      <c r="B28" s="11">
        <f>EDATE($D$7,9)</f>
        <v/>
      </c>
      <c r="C28" s="12">
        <f>IF(A28&lt;=$D$5,$B$16,"")</f>
        <v/>
      </c>
      <c r="D28" s="12">
        <f>IF(A28&lt;=$D$5,C28-E28,"")</f>
        <v/>
      </c>
      <c r="E28" s="12">
        <f>IF(A28&lt;=$D$5,ROUND(F27*$D$4/100/12,0),"")</f>
        <v/>
      </c>
      <c r="F28" s="12">
        <f>IF(A28&lt;=$D$5,F27-D28,"")</f>
        <v/>
      </c>
      <c r="G28" s="12">
        <f>IF(A28&lt;=$D$5,G27+C28,"")</f>
        <v/>
      </c>
      <c r="H28" s="12">
        <f>IF(A28&lt;=$D$5,H27+E28,"")</f>
        <v/>
      </c>
    </row>
    <row r="29">
      <c r="A29" s="10" t="n">
        <v>11</v>
      </c>
      <c r="B29" s="11">
        <f>EDATE($D$7,10)</f>
        <v/>
      </c>
      <c r="C29" s="12">
        <f>IF(A29&lt;=$D$5,$B$16,"")</f>
        <v/>
      </c>
      <c r="D29" s="12">
        <f>IF(A29&lt;=$D$5,C29-E29,"")</f>
        <v/>
      </c>
      <c r="E29" s="12">
        <f>IF(A29&lt;=$D$5,ROUND(F28*$D$4/100/12,0),"")</f>
        <v/>
      </c>
      <c r="F29" s="12">
        <f>IF(A29&lt;=$D$5,F28-D29,"")</f>
        <v/>
      </c>
      <c r="G29" s="12">
        <f>IF(A29&lt;=$D$5,G28+C29,"")</f>
        <v/>
      </c>
      <c r="H29" s="12">
        <f>IF(A29&lt;=$D$5,H28+E29,"")</f>
        <v/>
      </c>
    </row>
    <row r="30">
      <c r="A30" s="10" t="n">
        <v>12</v>
      </c>
      <c r="B30" s="11">
        <f>EDATE($D$7,11)</f>
        <v/>
      </c>
      <c r="C30" s="12">
        <f>IF(A30&lt;=$D$5,$B$16,"")</f>
        <v/>
      </c>
      <c r="D30" s="12">
        <f>IF(A30&lt;=$D$5,C30-E30,"")</f>
        <v/>
      </c>
      <c r="E30" s="12">
        <f>IF(A30&lt;=$D$5,ROUND(F29*$D$4/100/12,0),"")</f>
        <v/>
      </c>
      <c r="F30" s="12">
        <f>IF(A30&lt;=$D$5,F29-D30,"")</f>
        <v/>
      </c>
      <c r="G30" s="12">
        <f>IF(A30&lt;=$D$5,G29+C30,"")</f>
        <v/>
      </c>
      <c r="H30" s="12">
        <f>IF(A30&lt;=$D$5,H29+E30,"")</f>
        <v/>
      </c>
    </row>
    <row r="31">
      <c r="A31" s="10" t="n">
        <v>13</v>
      </c>
      <c r="B31" s="11">
        <f>EDATE($D$7,12)</f>
        <v/>
      </c>
      <c r="C31" s="12">
        <f>IF(A31&lt;=$D$5,$B$16,"")</f>
        <v/>
      </c>
      <c r="D31" s="12">
        <f>IF(A31&lt;=$D$5,C31-E31,"")</f>
        <v/>
      </c>
      <c r="E31" s="12">
        <f>IF(A31&lt;=$D$5,ROUND(F30*$D$4/100/12,0),"")</f>
        <v/>
      </c>
      <c r="F31" s="12">
        <f>IF(A31&lt;=$D$5,F30-D31,"")</f>
        <v/>
      </c>
      <c r="G31" s="12">
        <f>IF(A31&lt;=$D$5,G30+C31,"")</f>
        <v/>
      </c>
      <c r="H31" s="12">
        <f>IF(A31&lt;=$D$5,H30+E31,"")</f>
        <v/>
      </c>
    </row>
    <row r="32">
      <c r="A32" s="10" t="n">
        <v>14</v>
      </c>
      <c r="B32" s="11">
        <f>EDATE($D$7,13)</f>
        <v/>
      </c>
      <c r="C32" s="12">
        <f>IF(A32&lt;=$D$5,$B$16,"")</f>
        <v/>
      </c>
      <c r="D32" s="12">
        <f>IF(A32&lt;=$D$5,C32-E32,"")</f>
        <v/>
      </c>
      <c r="E32" s="12">
        <f>IF(A32&lt;=$D$5,ROUND(F31*$D$4/100/12,0),"")</f>
        <v/>
      </c>
      <c r="F32" s="12">
        <f>IF(A32&lt;=$D$5,F31-D32,"")</f>
        <v/>
      </c>
      <c r="G32" s="12">
        <f>IF(A32&lt;=$D$5,G31+C32,"")</f>
        <v/>
      </c>
      <c r="H32" s="12">
        <f>IF(A32&lt;=$D$5,H31+E32,"")</f>
        <v/>
      </c>
    </row>
    <row r="33">
      <c r="A33" s="10" t="n">
        <v>15</v>
      </c>
      <c r="B33" s="11">
        <f>EDATE($D$7,14)</f>
        <v/>
      </c>
      <c r="C33" s="12">
        <f>IF(A33&lt;=$D$5,$B$16,"")</f>
        <v/>
      </c>
      <c r="D33" s="12">
        <f>IF(A33&lt;=$D$5,C33-E33,"")</f>
        <v/>
      </c>
      <c r="E33" s="12">
        <f>IF(A33&lt;=$D$5,ROUND(F32*$D$4/100/12,0),"")</f>
        <v/>
      </c>
      <c r="F33" s="12">
        <f>IF(A33&lt;=$D$5,F32-D33,"")</f>
        <v/>
      </c>
      <c r="G33" s="12">
        <f>IF(A33&lt;=$D$5,G32+C33,"")</f>
        <v/>
      </c>
      <c r="H33" s="12">
        <f>IF(A33&lt;=$D$5,H32+E33,"")</f>
        <v/>
      </c>
    </row>
    <row r="34">
      <c r="A34" s="10" t="n">
        <v>16</v>
      </c>
      <c r="B34" s="11">
        <f>EDATE($D$7,15)</f>
        <v/>
      </c>
      <c r="C34" s="12">
        <f>IF(A34&lt;=$D$5,$B$16,"")</f>
        <v/>
      </c>
      <c r="D34" s="12">
        <f>IF(A34&lt;=$D$5,C34-E34,"")</f>
        <v/>
      </c>
      <c r="E34" s="12">
        <f>IF(A34&lt;=$D$5,ROUND(F33*$D$4/100/12,0),"")</f>
        <v/>
      </c>
      <c r="F34" s="12">
        <f>IF(A34&lt;=$D$5,F33-D34,"")</f>
        <v/>
      </c>
      <c r="G34" s="12">
        <f>IF(A34&lt;=$D$5,G33+C34,"")</f>
        <v/>
      </c>
      <c r="H34" s="12">
        <f>IF(A34&lt;=$D$5,H33+E34,"")</f>
        <v/>
      </c>
    </row>
    <row r="35">
      <c r="A35" s="10" t="n">
        <v>17</v>
      </c>
      <c r="B35" s="11">
        <f>EDATE($D$7,16)</f>
        <v/>
      </c>
      <c r="C35" s="12">
        <f>IF(A35&lt;=$D$5,$B$16,"")</f>
        <v/>
      </c>
      <c r="D35" s="12">
        <f>IF(A35&lt;=$D$5,C35-E35,"")</f>
        <v/>
      </c>
      <c r="E35" s="12">
        <f>IF(A35&lt;=$D$5,ROUND(F34*$D$4/100/12,0),"")</f>
        <v/>
      </c>
      <c r="F35" s="12">
        <f>IF(A35&lt;=$D$5,F34-D35,"")</f>
        <v/>
      </c>
      <c r="G35" s="12">
        <f>IF(A35&lt;=$D$5,G34+C35,"")</f>
        <v/>
      </c>
      <c r="H35" s="12">
        <f>IF(A35&lt;=$D$5,H34+E35,"")</f>
        <v/>
      </c>
    </row>
    <row r="36">
      <c r="A36" s="10" t="n">
        <v>18</v>
      </c>
      <c r="B36" s="11">
        <f>EDATE($D$7,17)</f>
        <v/>
      </c>
      <c r="C36" s="12">
        <f>IF(A36&lt;=$D$5,$B$16,"")</f>
        <v/>
      </c>
      <c r="D36" s="12">
        <f>IF(A36&lt;=$D$5,C36-E36,"")</f>
        <v/>
      </c>
      <c r="E36" s="12">
        <f>IF(A36&lt;=$D$5,ROUND(F35*$D$4/100/12,0),"")</f>
        <v/>
      </c>
      <c r="F36" s="12">
        <f>IF(A36&lt;=$D$5,F35-D36,"")</f>
        <v/>
      </c>
      <c r="G36" s="12">
        <f>IF(A36&lt;=$D$5,G35+C36,"")</f>
        <v/>
      </c>
      <c r="H36" s="12">
        <f>IF(A36&lt;=$D$5,H35+E36,"")</f>
        <v/>
      </c>
    </row>
    <row r="37">
      <c r="A37" s="10" t="n">
        <v>19</v>
      </c>
      <c r="B37" s="11">
        <f>EDATE($D$7,18)</f>
        <v/>
      </c>
      <c r="C37" s="12">
        <f>IF(A37&lt;=$D$5,$B$16,"")</f>
        <v/>
      </c>
      <c r="D37" s="12">
        <f>IF(A37&lt;=$D$5,C37-E37,"")</f>
        <v/>
      </c>
      <c r="E37" s="12">
        <f>IF(A37&lt;=$D$5,ROUND(F36*$D$4/100/12,0),"")</f>
        <v/>
      </c>
      <c r="F37" s="12">
        <f>IF(A37&lt;=$D$5,F36-D37,"")</f>
        <v/>
      </c>
      <c r="G37" s="12">
        <f>IF(A37&lt;=$D$5,G36+C37,"")</f>
        <v/>
      </c>
      <c r="H37" s="12">
        <f>IF(A37&lt;=$D$5,H36+E37,"")</f>
        <v/>
      </c>
    </row>
    <row r="38">
      <c r="A38" s="10" t="n">
        <v>20</v>
      </c>
      <c r="B38" s="11">
        <f>EDATE($D$7,19)</f>
        <v/>
      </c>
      <c r="C38" s="12">
        <f>IF(A38&lt;=$D$5,$B$16,"")</f>
        <v/>
      </c>
      <c r="D38" s="12">
        <f>IF(A38&lt;=$D$5,C38-E38,"")</f>
        <v/>
      </c>
      <c r="E38" s="12">
        <f>IF(A38&lt;=$D$5,ROUND(F37*$D$4/100/12,0),"")</f>
        <v/>
      </c>
      <c r="F38" s="12">
        <f>IF(A38&lt;=$D$5,F37-D38,"")</f>
        <v/>
      </c>
      <c r="G38" s="12">
        <f>IF(A38&lt;=$D$5,G37+C38,"")</f>
        <v/>
      </c>
      <c r="H38" s="12">
        <f>IF(A38&lt;=$D$5,H37+E38,"")</f>
        <v/>
      </c>
    </row>
    <row r="39">
      <c r="A39" s="10" t="n">
        <v>21</v>
      </c>
      <c r="B39" s="11">
        <f>EDATE($D$7,20)</f>
        <v/>
      </c>
      <c r="C39" s="12">
        <f>IF(A39&lt;=$D$5,$B$16,"")</f>
        <v/>
      </c>
      <c r="D39" s="12">
        <f>IF(A39&lt;=$D$5,C39-E39,"")</f>
        <v/>
      </c>
      <c r="E39" s="12">
        <f>IF(A39&lt;=$D$5,ROUND(F38*$D$4/100/12,0),"")</f>
        <v/>
      </c>
      <c r="F39" s="12">
        <f>IF(A39&lt;=$D$5,F38-D39,"")</f>
        <v/>
      </c>
      <c r="G39" s="12">
        <f>IF(A39&lt;=$D$5,G38+C39,"")</f>
        <v/>
      </c>
      <c r="H39" s="12">
        <f>IF(A39&lt;=$D$5,H38+E39,"")</f>
        <v/>
      </c>
    </row>
    <row r="40">
      <c r="A40" s="10" t="n">
        <v>22</v>
      </c>
      <c r="B40" s="11">
        <f>EDATE($D$7,21)</f>
        <v/>
      </c>
      <c r="C40" s="12">
        <f>IF(A40&lt;=$D$5,$B$16,"")</f>
        <v/>
      </c>
      <c r="D40" s="12">
        <f>IF(A40&lt;=$D$5,C40-E40,"")</f>
        <v/>
      </c>
      <c r="E40" s="12">
        <f>IF(A40&lt;=$D$5,ROUND(F39*$D$4/100/12,0),"")</f>
        <v/>
      </c>
      <c r="F40" s="12">
        <f>IF(A40&lt;=$D$5,F39-D40,"")</f>
        <v/>
      </c>
      <c r="G40" s="12">
        <f>IF(A40&lt;=$D$5,G39+C40,"")</f>
        <v/>
      </c>
      <c r="H40" s="12">
        <f>IF(A40&lt;=$D$5,H39+E40,"")</f>
        <v/>
      </c>
    </row>
    <row r="41">
      <c r="A41" s="10" t="n">
        <v>23</v>
      </c>
      <c r="B41" s="11">
        <f>EDATE($D$7,22)</f>
        <v/>
      </c>
      <c r="C41" s="12">
        <f>IF(A41&lt;=$D$5,$B$16,"")</f>
        <v/>
      </c>
      <c r="D41" s="12">
        <f>IF(A41&lt;=$D$5,C41-E41,"")</f>
        <v/>
      </c>
      <c r="E41" s="12">
        <f>IF(A41&lt;=$D$5,ROUND(F40*$D$4/100/12,0),"")</f>
        <v/>
      </c>
      <c r="F41" s="12">
        <f>IF(A41&lt;=$D$5,F40-D41,"")</f>
        <v/>
      </c>
      <c r="G41" s="12">
        <f>IF(A41&lt;=$D$5,G40+C41,"")</f>
        <v/>
      </c>
      <c r="H41" s="12">
        <f>IF(A41&lt;=$D$5,H40+E41,"")</f>
        <v/>
      </c>
    </row>
    <row r="42">
      <c r="A42" s="10" t="n">
        <v>24</v>
      </c>
      <c r="B42" s="11">
        <f>EDATE($D$7,23)</f>
        <v/>
      </c>
      <c r="C42" s="12">
        <f>IF(A42&lt;=$D$5,$B$16,"")</f>
        <v/>
      </c>
      <c r="D42" s="12">
        <f>IF(A42&lt;=$D$5,C42-E42,"")</f>
        <v/>
      </c>
      <c r="E42" s="12">
        <f>IF(A42&lt;=$D$5,ROUND(F41*$D$4/100/12,0),"")</f>
        <v/>
      </c>
      <c r="F42" s="12">
        <f>IF(A42&lt;=$D$5,F41-D42,"")</f>
        <v/>
      </c>
      <c r="G42" s="12">
        <f>IF(A42&lt;=$D$5,G41+C42,"")</f>
        <v/>
      </c>
      <c r="H42" s="12">
        <f>IF(A42&lt;=$D$5,H41+E42,"")</f>
        <v/>
      </c>
    </row>
    <row r="43">
      <c r="A43" s="10" t="n">
        <v>25</v>
      </c>
      <c r="B43" s="11">
        <f>EDATE($D$7,24)</f>
        <v/>
      </c>
      <c r="C43" s="12">
        <f>IF(A43&lt;=$D$5,$B$16,"")</f>
        <v/>
      </c>
      <c r="D43" s="12">
        <f>IF(A43&lt;=$D$5,C43-E43,"")</f>
        <v/>
      </c>
      <c r="E43" s="12">
        <f>IF(A43&lt;=$D$5,ROUND(F42*$D$4/100/12,0),"")</f>
        <v/>
      </c>
      <c r="F43" s="12">
        <f>IF(A43&lt;=$D$5,F42-D43,"")</f>
        <v/>
      </c>
      <c r="G43" s="12">
        <f>IF(A43&lt;=$D$5,G42+C43,"")</f>
        <v/>
      </c>
      <c r="H43" s="12">
        <f>IF(A43&lt;=$D$5,H42+E43,"")</f>
        <v/>
      </c>
    </row>
    <row r="44">
      <c r="A44" s="10" t="n">
        <v>26</v>
      </c>
      <c r="B44" s="11">
        <f>EDATE($D$7,25)</f>
        <v/>
      </c>
      <c r="C44" s="12">
        <f>IF(A44&lt;=$D$5,$B$16,"")</f>
        <v/>
      </c>
      <c r="D44" s="12">
        <f>IF(A44&lt;=$D$5,C44-E44,"")</f>
        <v/>
      </c>
      <c r="E44" s="12">
        <f>IF(A44&lt;=$D$5,ROUND(F43*$D$4/100/12,0),"")</f>
        <v/>
      </c>
      <c r="F44" s="12">
        <f>IF(A44&lt;=$D$5,F43-D44,"")</f>
        <v/>
      </c>
      <c r="G44" s="12">
        <f>IF(A44&lt;=$D$5,G43+C44,"")</f>
        <v/>
      </c>
      <c r="H44" s="12">
        <f>IF(A44&lt;=$D$5,H43+E44,"")</f>
        <v/>
      </c>
    </row>
    <row r="45">
      <c r="A45" s="10" t="n">
        <v>27</v>
      </c>
      <c r="B45" s="11">
        <f>EDATE($D$7,26)</f>
        <v/>
      </c>
      <c r="C45" s="12">
        <f>IF(A45&lt;=$D$5,$B$16,"")</f>
        <v/>
      </c>
      <c r="D45" s="12">
        <f>IF(A45&lt;=$D$5,C45-E45,"")</f>
        <v/>
      </c>
      <c r="E45" s="12">
        <f>IF(A45&lt;=$D$5,ROUND(F44*$D$4/100/12,0),"")</f>
        <v/>
      </c>
      <c r="F45" s="12">
        <f>IF(A45&lt;=$D$5,F44-D45,"")</f>
        <v/>
      </c>
      <c r="G45" s="12">
        <f>IF(A45&lt;=$D$5,G44+C45,"")</f>
        <v/>
      </c>
      <c r="H45" s="12">
        <f>IF(A45&lt;=$D$5,H44+E45,"")</f>
        <v/>
      </c>
    </row>
    <row r="46">
      <c r="A46" s="10" t="n">
        <v>28</v>
      </c>
      <c r="B46" s="11">
        <f>EDATE($D$7,27)</f>
        <v/>
      </c>
      <c r="C46" s="12">
        <f>IF(A46&lt;=$D$5,$B$16,"")</f>
        <v/>
      </c>
      <c r="D46" s="12">
        <f>IF(A46&lt;=$D$5,C46-E46,"")</f>
        <v/>
      </c>
      <c r="E46" s="12">
        <f>IF(A46&lt;=$D$5,ROUND(F45*$D$4/100/12,0),"")</f>
        <v/>
      </c>
      <c r="F46" s="12">
        <f>IF(A46&lt;=$D$5,F45-D46,"")</f>
        <v/>
      </c>
      <c r="G46" s="12">
        <f>IF(A46&lt;=$D$5,G45+C46,"")</f>
        <v/>
      </c>
      <c r="H46" s="12">
        <f>IF(A46&lt;=$D$5,H45+E46,"")</f>
        <v/>
      </c>
    </row>
    <row r="47">
      <c r="A47" s="10" t="n">
        <v>29</v>
      </c>
      <c r="B47" s="11">
        <f>EDATE($D$7,28)</f>
        <v/>
      </c>
      <c r="C47" s="12">
        <f>IF(A47&lt;=$D$5,$B$16,"")</f>
        <v/>
      </c>
      <c r="D47" s="12">
        <f>IF(A47&lt;=$D$5,C47-E47,"")</f>
        <v/>
      </c>
      <c r="E47" s="12">
        <f>IF(A47&lt;=$D$5,ROUND(F46*$D$4/100/12,0),"")</f>
        <v/>
      </c>
      <c r="F47" s="12">
        <f>IF(A47&lt;=$D$5,F46-D47,"")</f>
        <v/>
      </c>
      <c r="G47" s="12">
        <f>IF(A47&lt;=$D$5,G46+C47,"")</f>
        <v/>
      </c>
      <c r="H47" s="12">
        <f>IF(A47&lt;=$D$5,H46+E47,"")</f>
        <v/>
      </c>
    </row>
    <row r="48">
      <c r="A48" s="10" t="n">
        <v>30</v>
      </c>
      <c r="B48" s="11">
        <f>EDATE($D$7,29)</f>
        <v/>
      </c>
      <c r="C48" s="12">
        <f>IF(A48&lt;=$D$5,$B$16,"")</f>
        <v/>
      </c>
      <c r="D48" s="12">
        <f>IF(A48&lt;=$D$5,C48-E48,"")</f>
        <v/>
      </c>
      <c r="E48" s="12">
        <f>IF(A48&lt;=$D$5,ROUND(F47*$D$4/100/12,0),"")</f>
        <v/>
      </c>
      <c r="F48" s="12">
        <f>IF(A48&lt;=$D$5,F47-D48,"")</f>
        <v/>
      </c>
      <c r="G48" s="12">
        <f>IF(A48&lt;=$D$5,G47+C48,"")</f>
        <v/>
      </c>
      <c r="H48" s="12">
        <f>IF(A48&lt;=$D$5,H47+E48,"")</f>
        <v/>
      </c>
    </row>
    <row r="49">
      <c r="A49" s="10" t="n">
        <v>31</v>
      </c>
      <c r="B49" s="11">
        <f>EDATE($D$7,30)</f>
        <v/>
      </c>
      <c r="C49" s="12">
        <f>IF(A49&lt;=$D$5,$B$16,"")</f>
        <v/>
      </c>
      <c r="D49" s="12">
        <f>IF(A49&lt;=$D$5,C49-E49,"")</f>
        <v/>
      </c>
      <c r="E49" s="12">
        <f>IF(A49&lt;=$D$5,ROUND(F48*$D$4/100/12,0),"")</f>
        <v/>
      </c>
      <c r="F49" s="12">
        <f>IF(A49&lt;=$D$5,F48-D49,"")</f>
        <v/>
      </c>
      <c r="G49" s="12">
        <f>IF(A49&lt;=$D$5,G48+C49,"")</f>
        <v/>
      </c>
      <c r="H49" s="12">
        <f>IF(A49&lt;=$D$5,H48+E49,"")</f>
        <v/>
      </c>
    </row>
    <row r="50">
      <c r="A50" s="10" t="n">
        <v>32</v>
      </c>
      <c r="B50" s="11">
        <f>EDATE($D$7,31)</f>
        <v/>
      </c>
      <c r="C50" s="12">
        <f>IF(A50&lt;=$D$5,$B$16,"")</f>
        <v/>
      </c>
      <c r="D50" s="12">
        <f>IF(A50&lt;=$D$5,C50-E50,"")</f>
        <v/>
      </c>
      <c r="E50" s="12">
        <f>IF(A50&lt;=$D$5,ROUND(F49*$D$4/100/12,0),"")</f>
        <v/>
      </c>
      <c r="F50" s="12">
        <f>IF(A50&lt;=$D$5,F49-D50,"")</f>
        <v/>
      </c>
      <c r="G50" s="12">
        <f>IF(A50&lt;=$D$5,G49+C50,"")</f>
        <v/>
      </c>
      <c r="H50" s="12">
        <f>IF(A50&lt;=$D$5,H49+E50,"")</f>
        <v/>
      </c>
    </row>
    <row r="51">
      <c r="A51" s="10" t="n">
        <v>33</v>
      </c>
      <c r="B51" s="11">
        <f>EDATE($D$7,32)</f>
        <v/>
      </c>
      <c r="C51" s="12">
        <f>IF(A51&lt;=$D$5,$B$16,"")</f>
        <v/>
      </c>
      <c r="D51" s="12">
        <f>IF(A51&lt;=$D$5,C51-E51,"")</f>
        <v/>
      </c>
      <c r="E51" s="12">
        <f>IF(A51&lt;=$D$5,ROUND(F50*$D$4/100/12,0),"")</f>
        <v/>
      </c>
      <c r="F51" s="12">
        <f>IF(A51&lt;=$D$5,F50-D51,"")</f>
        <v/>
      </c>
      <c r="G51" s="12">
        <f>IF(A51&lt;=$D$5,G50+C51,"")</f>
        <v/>
      </c>
      <c r="H51" s="12">
        <f>IF(A51&lt;=$D$5,H50+E51,"")</f>
        <v/>
      </c>
    </row>
    <row r="52">
      <c r="A52" s="10" t="n">
        <v>34</v>
      </c>
      <c r="B52" s="11">
        <f>EDATE($D$7,33)</f>
        <v/>
      </c>
      <c r="C52" s="12">
        <f>IF(A52&lt;=$D$5,$B$16,"")</f>
        <v/>
      </c>
      <c r="D52" s="12">
        <f>IF(A52&lt;=$D$5,C52-E52,"")</f>
        <v/>
      </c>
      <c r="E52" s="12">
        <f>IF(A52&lt;=$D$5,ROUND(F51*$D$4/100/12,0),"")</f>
        <v/>
      </c>
      <c r="F52" s="12">
        <f>IF(A52&lt;=$D$5,F51-D52,"")</f>
        <v/>
      </c>
      <c r="G52" s="12">
        <f>IF(A52&lt;=$D$5,G51+C52,"")</f>
        <v/>
      </c>
      <c r="H52" s="12">
        <f>IF(A52&lt;=$D$5,H51+E52,"")</f>
        <v/>
      </c>
    </row>
    <row r="53">
      <c r="A53" s="10" t="n">
        <v>35</v>
      </c>
      <c r="B53" s="11">
        <f>EDATE($D$7,34)</f>
        <v/>
      </c>
      <c r="C53" s="12">
        <f>IF(A53&lt;=$D$5,$B$16,"")</f>
        <v/>
      </c>
      <c r="D53" s="12">
        <f>IF(A53&lt;=$D$5,C53-E53,"")</f>
        <v/>
      </c>
      <c r="E53" s="12">
        <f>IF(A53&lt;=$D$5,ROUND(F52*$D$4/100/12,0),"")</f>
        <v/>
      </c>
      <c r="F53" s="12">
        <f>IF(A53&lt;=$D$5,F52-D53,"")</f>
        <v/>
      </c>
      <c r="G53" s="12">
        <f>IF(A53&lt;=$D$5,G52+C53,"")</f>
        <v/>
      </c>
      <c r="H53" s="12">
        <f>IF(A53&lt;=$D$5,H52+E53,"")</f>
        <v/>
      </c>
    </row>
    <row r="54">
      <c r="A54" s="10" t="n">
        <v>36</v>
      </c>
      <c r="B54" s="11">
        <f>EDATE($D$7,35)</f>
        <v/>
      </c>
      <c r="C54" s="12">
        <f>IF(A54&lt;=$D$5,$B$16,"")</f>
        <v/>
      </c>
      <c r="D54" s="12">
        <f>IF(A54&lt;=$D$5,C54-E54,"")</f>
        <v/>
      </c>
      <c r="E54" s="12">
        <f>IF(A54&lt;=$D$5,ROUND(F53*$D$4/100/12,0),"")</f>
        <v/>
      </c>
      <c r="F54" s="12">
        <f>IF(A54&lt;=$D$5,F53-D54,"")</f>
        <v/>
      </c>
      <c r="G54" s="12">
        <f>IF(A54&lt;=$D$5,G53+C54,"")</f>
        <v/>
      </c>
      <c r="H54" s="12">
        <f>IF(A54&lt;=$D$5,H53+E54,"")</f>
        <v/>
      </c>
    </row>
    <row r="55">
      <c r="A55" s="10" t="n">
        <v>37</v>
      </c>
      <c r="B55" s="11">
        <f>EDATE($D$7,36)</f>
        <v/>
      </c>
      <c r="C55" s="12">
        <f>IF(A55&lt;=$D$5,$B$16,"")</f>
        <v/>
      </c>
      <c r="D55" s="12">
        <f>IF(A55&lt;=$D$5,C55-E55,"")</f>
        <v/>
      </c>
      <c r="E55" s="12">
        <f>IF(A55&lt;=$D$5,ROUND(F54*$D$4/100/12,0),"")</f>
        <v/>
      </c>
      <c r="F55" s="12">
        <f>IF(A55&lt;=$D$5,F54-D55,"")</f>
        <v/>
      </c>
      <c r="G55" s="12">
        <f>IF(A55&lt;=$D$5,G54+C55,"")</f>
        <v/>
      </c>
      <c r="H55" s="12">
        <f>IF(A55&lt;=$D$5,H54+E55,"")</f>
        <v/>
      </c>
    </row>
    <row r="56">
      <c r="A56" s="10" t="n">
        <v>38</v>
      </c>
      <c r="B56" s="11">
        <f>EDATE($D$7,37)</f>
        <v/>
      </c>
      <c r="C56" s="12">
        <f>IF(A56&lt;=$D$5,$B$16,"")</f>
        <v/>
      </c>
      <c r="D56" s="12">
        <f>IF(A56&lt;=$D$5,C56-E56,"")</f>
        <v/>
      </c>
      <c r="E56" s="12">
        <f>IF(A56&lt;=$D$5,ROUND(F55*$D$4/100/12,0),"")</f>
        <v/>
      </c>
      <c r="F56" s="12">
        <f>IF(A56&lt;=$D$5,F55-D56,"")</f>
        <v/>
      </c>
      <c r="G56" s="12">
        <f>IF(A56&lt;=$D$5,G55+C56,"")</f>
        <v/>
      </c>
      <c r="H56" s="12">
        <f>IF(A56&lt;=$D$5,H55+E56,"")</f>
        <v/>
      </c>
    </row>
    <row r="57">
      <c r="A57" s="10" t="n">
        <v>39</v>
      </c>
      <c r="B57" s="11">
        <f>EDATE($D$7,38)</f>
        <v/>
      </c>
      <c r="C57" s="12">
        <f>IF(A57&lt;=$D$5,$B$16,"")</f>
        <v/>
      </c>
      <c r="D57" s="12">
        <f>IF(A57&lt;=$D$5,C57-E57,"")</f>
        <v/>
      </c>
      <c r="E57" s="12">
        <f>IF(A57&lt;=$D$5,ROUND(F56*$D$4/100/12,0),"")</f>
        <v/>
      </c>
      <c r="F57" s="12">
        <f>IF(A57&lt;=$D$5,F56-D57,"")</f>
        <v/>
      </c>
      <c r="G57" s="12">
        <f>IF(A57&lt;=$D$5,G56+C57,"")</f>
        <v/>
      </c>
      <c r="H57" s="12">
        <f>IF(A57&lt;=$D$5,H56+E57,"")</f>
        <v/>
      </c>
    </row>
    <row r="58">
      <c r="A58" s="10" t="n">
        <v>40</v>
      </c>
      <c r="B58" s="11">
        <f>EDATE($D$7,39)</f>
        <v/>
      </c>
      <c r="C58" s="12">
        <f>IF(A58&lt;=$D$5,$B$16,"")</f>
        <v/>
      </c>
      <c r="D58" s="12">
        <f>IF(A58&lt;=$D$5,C58-E58,"")</f>
        <v/>
      </c>
      <c r="E58" s="12">
        <f>IF(A58&lt;=$D$5,ROUND(F57*$D$4/100/12,0),"")</f>
        <v/>
      </c>
      <c r="F58" s="12">
        <f>IF(A58&lt;=$D$5,F57-D58,"")</f>
        <v/>
      </c>
      <c r="G58" s="12">
        <f>IF(A58&lt;=$D$5,G57+C58,"")</f>
        <v/>
      </c>
      <c r="H58" s="12">
        <f>IF(A58&lt;=$D$5,H57+E58,"")</f>
        <v/>
      </c>
    </row>
    <row r="59">
      <c r="A59" s="10" t="n">
        <v>41</v>
      </c>
      <c r="B59" s="11">
        <f>EDATE($D$7,40)</f>
        <v/>
      </c>
      <c r="C59" s="12">
        <f>IF(A59&lt;=$D$5,$B$16,"")</f>
        <v/>
      </c>
      <c r="D59" s="12">
        <f>IF(A59&lt;=$D$5,C59-E59,"")</f>
        <v/>
      </c>
      <c r="E59" s="12">
        <f>IF(A59&lt;=$D$5,ROUND(F58*$D$4/100/12,0),"")</f>
        <v/>
      </c>
      <c r="F59" s="12">
        <f>IF(A59&lt;=$D$5,F58-D59,"")</f>
        <v/>
      </c>
      <c r="G59" s="12">
        <f>IF(A59&lt;=$D$5,G58+C59,"")</f>
        <v/>
      </c>
      <c r="H59" s="12">
        <f>IF(A59&lt;=$D$5,H58+E59,"")</f>
        <v/>
      </c>
    </row>
    <row r="60">
      <c r="A60" s="10" t="n">
        <v>42</v>
      </c>
      <c r="B60" s="11">
        <f>EDATE($D$7,41)</f>
        <v/>
      </c>
      <c r="C60" s="12">
        <f>IF(A60&lt;=$D$5,$B$16,"")</f>
        <v/>
      </c>
      <c r="D60" s="12">
        <f>IF(A60&lt;=$D$5,C60-E60,"")</f>
        <v/>
      </c>
      <c r="E60" s="12">
        <f>IF(A60&lt;=$D$5,ROUND(F59*$D$4/100/12,0),"")</f>
        <v/>
      </c>
      <c r="F60" s="12">
        <f>IF(A60&lt;=$D$5,F59-D60,"")</f>
        <v/>
      </c>
      <c r="G60" s="12">
        <f>IF(A60&lt;=$D$5,G59+C60,"")</f>
        <v/>
      </c>
      <c r="H60" s="12">
        <f>IF(A60&lt;=$D$5,H59+E60,"")</f>
        <v/>
      </c>
    </row>
    <row r="61">
      <c r="A61" s="10" t="n">
        <v>43</v>
      </c>
      <c r="B61" s="11">
        <f>EDATE($D$7,42)</f>
        <v/>
      </c>
      <c r="C61" s="12">
        <f>IF(A61&lt;=$D$5,$B$16,"")</f>
        <v/>
      </c>
      <c r="D61" s="12">
        <f>IF(A61&lt;=$D$5,C61-E61,"")</f>
        <v/>
      </c>
      <c r="E61" s="12">
        <f>IF(A61&lt;=$D$5,ROUND(F60*$D$4/100/12,0),"")</f>
        <v/>
      </c>
      <c r="F61" s="12">
        <f>IF(A61&lt;=$D$5,F60-D61,"")</f>
        <v/>
      </c>
      <c r="G61" s="12">
        <f>IF(A61&lt;=$D$5,G60+C61,"")</f>
        <v/>
      </c>
      <c r="H61" s="12">
        <f>IF(A61&lt;=$D$5,H60+E61,"")</f>
        <v/>
      </c>
    </row>
    <row r="62">
      <c r="A62" s="10" t="n">
        <v>44</v>
      </c>
      <c r="B62" s="11">
        <f>EDATE($D$7,43)</f>
        <v/>
      </c>
      <c r="C62" s="12">
        <f>IF(A62&lt;=$D$5,$B$16,"")</f>
        <v/>
      </c>
      <c r="D62" s="12">
        <f>IF(A62&lt;=$D$5,C62-E62,"")</f>
        <v/>
      </c>
      <c r="E62" s="12">
        <f>IF(A62&lt;=$D$5,ROUND(F61*$D$4/100/12,0),"")</f>
        <v/>
      </c>
      <c r="F62" s="12">
        <f>IF(A62&lt;=$D$5,F61-D62,"")</f>
        <v/>
      </c>
      <c r="G62" s="12">
        <f>IF(A62&lt;=$D$5,G61+C62,"")</f>
        <v/>
      </c>
      <c r="H62" s="12">
        <f>IF(A62&lt;=$D$5,H61+E62,"")</f>
        <v/>
      </c>
    </row>
    <row r="63">
      <c r="A63" s="10" t="n">
        <v>45</v>
      </c>
      <c r="B63" s="11">
        <f>EDATE($D$7,44)</f>
        <v/>
      </c>
      <c r="C63" s="12">
        <f>IF(A63&lt;=$D$5,$B$16,"")</f>
        <v/>
      </c>
      <c r="D63" s="12">
        <f>IF(A63&lt;=$D$5,C63-E63,"")</f>
        <v/>
      </c>
      <c r="E63" s="12">
        <f>IF(A63&lt;=$D$5,ROUND(F62*$D$4/100/12,0),"")</f>
        <v/>
      </c>
      <c r="F63" s="12">
        <f>IF(A63&lt;=$D$5,F62-D63,"")</f>
        <v/>
      </c>
      <c r="G63" s="12">
        <f>IF(A63&lt;=$D$5,G62+C63,"")</f>
        <v/>
      </c>
      <c r="H63" s="12">
        <f>IF(A63&lt;=$D$5,H62+E63,"")</f>
        <v/>
      </c>
    </row>
    <row r="64">
      <c r="A64" s="10" t="n">
        <v>46</v>
      </c>
      <c r="B64" s="11">
        <f>EDATE($D$7,45)</f>
        <v/>
      </c>
      <c r="C64" s="12">
        <f>IF(A64&lt;=$D$5,$B$16,"")</f>
        <v/>
      </c>
      <c r="D64" s="12">
        <f>IF(A64&lt;=$D$5,C64-E64,"")</f>
        <v/>
      </c>
      <c r="E64" s="12">
        <f>IF(A64&lt;=$D$5,ROUND(F63*$D$4/100/12,0),"")</f>
        <v/>
      </c>
      <c r="F64" s="12">
        <f>IF(A64&lt;=$D$5,F63-D64,"")</f>
        <v/>
      </c>
      <c r="G64" s="12">
        <f>IF(A64&lt;=$D$5,G63+C64,"")</f>
        <v/>
      </c>
      <c r="H64" s="12">
        <f>IF(A64&lt;=$D$5,H63+E64,"")</f>
        <v/>
      </c>
    </row>
    <row r="65">
      <c r="A65" s="10" t="n">
        <v>47</v>
      </c>
      <c r="B65" s="11">
        <f>EDATE($D$7,46)</f>
        <v/>
      </c>
      <c r="C65" s="12">
        <f>IF(A65&lt;=$D$5,$B$16,"")</f>
        <v/>
      </c>
      <c r="D65" s="12">
        <f>IF(A65&lt;=$D$5,C65-E65,"")</f>
        <v/>
      </c>
      <c r="E65" s="12">
        <f>IF(A65&lt;=$D$5,ROUND(F64*$D$4/100/12,0),"")</f>
        <v/>
      </c>
      <c r="F65" s="12">
        <f>IF(A65&lt;=$D$5,F64-D65,"")</f>
        <v/>
      </c>
      <c r="G65" s="12">
        <f>IF(A65&lt;=$D$5,G64+C65,"")</f>
        <v/>
      </c>
      <c r="H65" s="12">
        <f>IF(A65&lt;=$D$5,H64+E65,"")</f>
        <v/>
      </c>
    </row>
    <row r="66">
      <c r="A66" s="10" t="n">
        <v>48</v>
      </c>
      <c r="B66" s="11">
        <f>EDATE($D$7,47)</f>
        <v/>
      </c>
      <c r="C66" s="12">
        <f>IF(A66&lt;=$D$5,$B$16,"")</f>
        <v/>
      </c>
      <c r="D66" s="12">
        <f>IF(A66&lt;=$D$5,C66-E66,"")</f>
        <v/>
      </c>
      <c r="E66" s="12">
        <f>IF(A66&lt;=$D$5,ROUND(F65*$D$4/100/12,0),"")</f>
        <v/>
      </c>
      <c r="F66" s="12">
        <f>IF(A66&lt;=$D$5,F65-D66,"")</f>
        <v/>
      </c>
      <c r="G66" s="12">
        <f>IF(A66&lt;=$D$5,G65+C66,"")</f>
        <v/>
      </c>
      <c r="H66" s="12">
        <f>IF(A66&lt;=$D$5,H65+E66,"")</f>
        <v/>
      </c>
    </row>
    <row r="67">
      <c r="A67" s="10" t="n">
        <v>49</v>
      </c>
      <c r="B67" s="11">
        <f>EDATE($D$7,48)</f>
        <v/>
      </c>
      <c r="C67" s="12">
        <f>IF(A67&lt;=$D$5,$B$16,"")</f>
        <v/>
      </c>
      <c r="D67" s="12">
        <f>IF(A67&lt;=$D$5,C67-E67,"")</f>
        <v/>
      </c>
      <c r="E67" s="12">
        <f>IF(A67&lt;=$D$5,ROUND(F66*$D$4/100/12,0),"")</f>
        <v/>
      </c>
      <c r="F67" s="12">
        <f>IF(A67&lt;=$D$5,F66-D67,"")</f>
        <v/>
      </c>
      <c r="G67" s="12">
        <f>IF(A67&lt;=$D$5,G66+C67,"")</f>
        <v/>
      </c>
      <c r="H67" s="12">
        <f>IF(A67&lt;=$D$5,H66+E67,"")</f>
        <v/>
      </c>
    </row>
    <row r="68">
      <c r="A68" s="10" t="n">
        <v>50</v>
      </c>
      <c r="B68" s="11">
        <f>EDATE($D$7,49)</f>
        <v/>
      </c>
      <c r="C68" s="12">
        <f>IF(A68&lt;=$D$5,$B$16,"")</f>
        <v/>
      </c>
      <c r="D68" s="12">
        <f>IF(A68&lt;=$D$5,C68-E68,"")</f>
        <v/>
      </c>
      <c r="E68" s="12">
        <f>IF(A68&lt;=$D$5,ROUND(F67*$D$4/100/12,0),"")</f>
        <v/>
      </c>
      <c r="F68" s="12">
        <f>IF(A68&lt;=$D$5,F67-D68,"")</f>
        <v/>
      </c>
      <c r="G68" s="12">
        <f>IF(A68&lt;=$D$5,G67+C68,"")</f>
        <v/>
      </c>
      <c r="H68" s="12">
        <f>IF(A68&lt;=$D$5,H67+E68,"")</f>
        <v/>
      </c>
    </row>
    <row r="69">
      <c r="A69" s="10" t="n">
        <v>51</v>
      </c>
      <c r="B69" s="11">
        <f>EDATE($D$7,50)</f>
        <v/>
      </c>
      <c r="C69" s="12">
        <f>IF(A69&lt;=$D$5,$B$16,"")</f>
        <v/>
      </c>
      <c r="D69" s="12">
        <f>IF(A69&lt;=$D$5,C69-E69,"")</f>
        <v/>
      </c>
      <c r="E69" s="12">
        <f>IF(A69&lt;=$D$5,ROUND(F68*$D$4/100/12,0),"")</f>
        <v/>
      </c>
      <c r="F69" s="12">
        <f>IF(A69&lt;=$D$5,F68-D69,"")</f>
        <v/>
      </c>
      <c r="G69" s="12">
        <f>IF(A69&lt;=$D$5,G68+C69,"")</f>
        <v/>
      </c>
      <c r="H69" s="12">
        <f>IF(A69&lt;=$D$5,H68+E69,"")</f>
        <v/>
      </c>
    </row>
    <row r="70">
      <c r="A70" s="10" t="n">
        <v>52</v>
      </c>
      <c r="B70" s="11">
        <f>EDATE($D$7,51)</f>
        <v/>
      </c>
      <c r="C70" s="12">
        <f>IF(A70&lt;=$D$5,$B$16,"")</f>
        <v/>
      </c>
      <c r="D70" s="12">
        <f>IF(A70&lt;=$D$5,C70-E70,"")</f>
        <v/>
      </c>
      <c r="E70" s="12">
        <f>IF(A70&lt;=$D$5,ROUND(F69*$D$4/100/12,0),"")</f>
        <v/>
      </c>
      <c r="F70" s="12">
        <f>IF(A70&lt;=$D$5,F69-D70,"")</f>
        <v/>
      </c>
      <c r="G70" s="12">
        <f>IF(A70&lt;=$D$5,G69+C70,"")</f>
        <v/>
      </c>
      <c r="H70" s="12">
        <f>IF(A70&lt;=$D$5,H69+E70,"")</f>
        <v/>
      </c>
    </row>
    <row r="71">
      <c r="A71" s="10" t="n">
        <v>53</v>
      </c>
      <c r="B71" s="11">
        <f>EDATE($D$7,52)</f>
        <v/>
      </c>
      <c r="C71" s="12">
        <f>IF(A71&lt;=$D$5,$B$16,"")</f>
        <v/>
      </c>
      <c r="D71" s="12">
        <f>IF(A71&lt;=$D$5,C71-E71,"")</f>
        <v/>
      </c>
      <c r="E71" s="12">
        <f>IF(A71&lt;=$D$5,ROUND(F70*$D$4/100/12,0),"")</f>
        <v/>
      </c>
      <c r="F71" s="12">
        <f>IF(A71&lt;=$D$5,F70-D71,"")</f>
        <v/>
      </c>
      <c r="G71" s="12">
        <f>IF(A71&lt;=$D$5,G70+C71,"")</f>
        <v/>
      </c>
      <c r="H71" s="12">
        <f>IF(A71&lt;=$D$5,H70+E71,"")</f>
        <v/>
      </c>
    </row>
    <row r="72">
      <c r="A72" s="10" t="n">
        <v>54</v>
      </c>
      <c r="B72" s="11">
        <f>EDATE($D$7,53)</f>
        <v/>
      </c>
      <c r="C72" s="12">
        <f>IF(A72&lt;=$D$5,$B$16,"")</f>
        <v/>
      </c>
      <c r="D72" s="12">
        <f>IF(A72&lt;=$D$5,C72-E72,"")</f>
        <v/>
      </c>
      <c r="E72" s="12">
        <f>IF(A72&lt;=$D$5,ROUND(F71*$D$4/100/12,0),"")</f>
        <v/>
      </c>
      <c r="F72" s="12">
        <f>IF(A72&lt;=$D$5,F71-D72,"")</f>
        <v/>
      </c>
      <c r="G72" s="12">
        <f>IF(A72&lt;=$D$5,G71+C72,"")</f>
        <v/>
      </c>
      <c r="H72" s="12">
        <f>IF(A72&lt;=$D$5,H71+E72,"")</f>
        <v/>
      </c>
    </row>
    <row r="73">
      <c r="A73" s="10" t="n">
        <v>55</v>
      </c>
      <c r="B73" s="11">
        <f>EDATE($D$7,54)</f>
        <v/>
      </c>
      <c r="C73" s="12">
        <f>IF(A73&lt;=$D$5,$B$16,"")</f>
        <v/>
      </c>
      <c r="D73" s="12">
        <f>IF(A73&lt;=$D$5,C73-E73,"")</f>
        <v/>
      </c>
      <c r="E73" s="12">
        <f>IF(A73&lt;=$D$5,ROUND(F72*$D$4/100/12,0),"")</f>
        <v/>
      </c>
      <c r="F73" s="12">
        <f>IF(A73&lt;=$D$5,F72-D73,"")</f>
        <v/>
      </c>
      <c r="G73" s="12">
        <f>IF(A73&lt;=$D$5,G72+C73,"")</f>
        <v/>
      </c>
      <c r="H73" s="12">
        <f>IF(A73&lt;=$D$5,H72+E73,"")</f>
        <v/>
      </c>
    </row>
    <row r="74">
      <c r="A74" s="10" t="n">
        <v>56</v>
      </c>
      <c r="B74" s="11">
        <f>EDATE($D$7,55)</f>
        <v/>
      </c>
      <c r="C74" s="12">
        <f>IF(A74&lt;=$D$5,$B$16,"")</f>
        <v/>
      </c>
      <c r="D74" s="12">
        <f>IF(A74&lt;=$D$5,C74-E74,"")</f>
        <v/>
      </c>
      <c r="E74" s="12">
        <f>IF(A74&lt;=$D$5,ROUND(F73*$D$4/100/12,0),"")</f>
        <v/>
      </c>
      <c r="F74" s="12">
        <f>IF(A74&lt;=$D$5,F73-D74,"")</f>
        <v/>
      </c>
      <c r="G74" s="12">
        <f>IF(A74&lt;=$D$5,G73+C74,"")</f>
        <v/>
      </c>
      <c r="H74" s="12">
        <f>IF(A74&lt;=$D$5,H73+E74,"")</f>
        <v/>
      </c>
    </row>
    <row r="75">
      <c r="A75" s="10" t="n">
        <v>57</v>
      </c>
      <c r="B75" s="11">
        <f>EDATE($D$7,56)</f>
        <v/>
      </c>
      <c r="C75" s="12">
        <f>IF(A75&lt;=$D$5,$B$16,"")</f>
        <v/>
      </c>
      <c r="D75" s="12">
        <f>IF(A75&lt;=$D$5,C75-E75,"")</f>
        <v/>
      </c>
      <c r="E75" s="12">
        <f>IF(A75&lt;=$D$5,ROUND(F74*$D$4/100/12,0),"")</f>
        <v/>
      </c>
      <c r="F75" s="12">
        <f>IF(A75&lt;=$D$5,F74-D75,"")</f>
        <v/>
      </c>
      <c r="G75" s="12">
        <f>IF(A75&lt;=$D$5,G74+C75,"")</f>
        <v/>
      </c>
      <c r="H75" s="12">
        <f>IF(A75&lt;=$D$5,H74+E75,"")</f>
        <v/>
      </c>
    </row>
    <row r="76">
      <c r="A76" s="10" t="n">
        <v>58</v>
      </c>
      <c r="B76" s="11">
        <f>EDATE($D$7,57)</f>
        <v/>
      </c>
      <c r="C76" s="12">
        <f>IF(A76&lt;=$D$5,$B$16,"")</f>
        <v/>
      </c>
      <c r="D76" s="12">
        <f>IF(A76&lt;=$D$5,C76-E76,"")</f>
        <v/>
      </c>
      <c r="E76" s="12">
        <f>IF(A76&lt;=$D$5,ROUND(F75*$D$4/100/12,0),"")</f>
        <v/>
      </c>
      <c r="F76" s="12">
        <f>IF(A76&lt;=$D$5,F75-D76,"")</f>
        <v/>
      </c>
      <c r="G76" s="12">
        <f>IF(A76&lt;=$D$5,G75+C76,"")</f>
        <v/>
      </c>
      <c r="H76" s="12">
        <f>IF(A76&lt;=$D$5,H75+E76,"")</f>
        <v/>
      </c>
    </row>
    <row r="77">
      <c r="A77" s="10" t="n">
        <v>59</v>
      </c>
      <c r="B77" s="11">
        <f>EDATE($D$7,58)</f>
        <v/>
      </c>
      <c r="C77" s="12">
        <f>IF(A77&lt;=$D$5,$B$16,"")</f>
        <v/>
      </c>
      <c r="D77" s="12">
        <f>IF(A77&lt;=$D$5,C77-E77,"")</f>
        <v/>
      </c>
      <c r="E77" s="12">
        <f>IF(A77&lt;=$D$5,ROUND(F76*$D$4/100/12,0),"")</f>
        <v/>
      </c>
      <c r="F77" s="12">
        <f>IF(A77&lt;=$D$5,F76-D77,"")</f>
        <v/>
      </c>
      <c r="G77" s="12">
        <f>IF(A77&lt;=$D$5,G76+C77,"")</f>
        <v/>
      </c>
      <c r="H77" s="12">
        <f>IF(A77&lt;=$D$5,H76+E77,"")</f>
        <v/>
      </c>
    </row>
    <row r="78">
      <c r="A78" s="10" t="n">
        <v>60</v>
      </c>
      <c r="B78" s="11">
        <f>EDATE($D$7,59)</f>
        <v/>
      </c>
      <c r="C78" s="12">
        <f>IF(A78&lt;=$D$5,$B$16,"")</f>
        <v/>
      </c>
      <c r="D78" s="12">
        <f>IF(A78&lt;=$D$5,C78-E78,"")</f>
        <v/>
      </c>
      <c r="E78" s="12">
        <f>IF(A78&lt;=$D$5,ROUND(F77*$D$4/100/12,0),"")</f>
        <v/>
      </c>
      <c r="F78" s="12">
        <f>IF(A78&lt;=$D$5,F77-D78,"")</f>
        <v/>
      </c>
      <c r="G78" s="12">
        <f>IF(A78&lt;=$D$5,G77+C78,"")</f>
        <v/>
      </c>
      <c r="H78" s="12">
        <f>IF(A78&lt;=$D$5,H77+E78,"")</f>
        <v/>
      </c>
    </row>
  </sheetData>
  <mergeCells count="6">
    <mergeCell ref="A12:H12"/>
    <mergeCell ref="A10:H10"/>
    <mergeCell ref="A13:H13"/>
    <mergeCell ref="A11:H11"/>
    <mergeCell ref="A14:H14"/>
    <mergeCell ref="A1:H1"/>
  </mergeCells>
  <printOptions horizontalCentered="1"/>
  <pageMargins left="0.5" right="0.5" top="1" bottom="1" header="0.5" footer="0.5"/>
  <pageSetup orientation="landscape" paperSize="9" fitToHeight="1" fitToWidth="1"/>
</worksheet>
</file>

<file path=xl/worksheets/sheet2.xml><?xml version="1.0" encoding="utf-8"?>
<worksheet xmlns="http://schemas.openxmlformats.org/spreadsheetml/2006/main">
  <sheetPr>
    <outlinePr summaryBelow="1" summaryRight="1"/>
    <pageSetUpPr fitToPage="1"/>
  </sheetPr>
  <dimension ref="A1:F6"/>
  <sheetViews>
    <sheetView workbookViewId="0">
      <selection activeCell="A1" sqref="A1"/>
    </sheetView>
  </sheetViews>
  <sheetFormatPr baseColWidth="8" defaultRowHeight="15"/>
  <cols>
    <col width="6" customWidth="1" min="1" max="1"/>
    <col width="22" customWidth="1" min="2" max="2"/>
    <col width="14" customWidth="1" min="3" max="3"/>
    <col width="14" customWidth="1" min="4" max="4"/>
    <col width="14" customWidth="1" min="5" max="5"/>
    <col width="14" customWidth="1" min="6" max="6"/>
  </cols>
  <sheetData>
    <row r="1">
      <c r="A1" s="13" t="inlineStr">
        <is>
          <t>利息制限法 上限金利早見表</t>
        </is>
      </c>
    </row>
    <row r="3">
      <c r="A3" s="9" t="inlineStr">
        <is>
          <t>区分</t>
        </is>
      </c>
      <c r="B3" s="9" t="inlineStr">
        <is>
          <t>貸付金額</t>
        </is>
      </c>
      <c r="C3" s="9" t="inlineStr">
        <is>
          <t>個人間上限</t>
        </is>
      </c>
      <c r="D3" s="9" t="inlineStr">
        <is>
          <t>業者上限</t>
        </is>
      </c>
      <c r="E3" s="9" t="inlineStr">
        <is>
          <t>遅延個人</t>
        </is>
      </c>
      <c r="F3" s="9" t="inlineStr">
        <is>
          <t>遅延業者</t>
        </is>
      </c>
    </row>
    <row r="4">
      <c r="A4" s="10" t="inlineStr">
        <is>
          <t>A</t>
        </is>
      </c>
      <c r="B4" s="10" t="inlineStr">
        <is>
          <t>10万円未満</t>
        </is>
      </c>
      <c r="C4" s="10" t="inlineStr">
        <is>
          <t>年20.0%</t>
        </is>
      </c>
      <c r="D4" s="10" t="inlineStr">
        <is>
          <t>年20.0%</t>
        </is>
      </c>
      <c r="E4" s="10" t="inlineStr">
        <is>
          <t>年29.2%</t>
        </is>
      </c>
      <c r="F4" s="10" t="inlineStr">
        <is>
          <t>年29.2%</t>
        </is>
      </c>
    </row>
    <row r="5">
      <c r="A5" s="10" t="inlineStr">
        <is>
          <t>B</t>
        </is>
      </c>
      <c r="B5" s="10" t="inlineStr">
        <is>
          <t>10万円以上100万円未満</t>
        </is>
      </c>
      <c r="C5" s="10" t="inlineStr">
        <is>
          <t>年18.0%</t>
        </is>
      </c>
      <c r="D5" s="10" t="inlineStr">
        <is>
          <t>年18.0%</t>
        </is>
      </c>
      <c r="E5" s="10" t="inlineStr">
        <is>
          <t>年26.28%</t>
        </is>
      </c>
      <c r="F5" s="10" t="inlineStr">
        <is>
          <t>年26.28%</t>
        </is>
      </c>
    </row>
    <row r="6">
      <c r="A6" s="10" t="inlineStr">
        <is>
          <t>C</t>
        </is>
      </c>
      <c r="B6" s="10" t="inlineStr">
        <is>
          <t>100万円以上</t>
        </is>
      </c>
      <c r="C6" s="10" t="inlineStr">
        <is>
          <t>年15.0%</t>
        </is>
      </c>
      <c r="D6" s="10" t="inlineStr">
        <is>
          <t>年15.0%</t>
        </is>
      </c>
      <c r="E6" s="10" t="inlineStr">
        <is>
          <t>年21.9%</t>
        </is>
      </c>
      <c r="F6" s="10" t="inlineStr">
        <is>
          <t>年21.9%</t>
        </is>
      </c>
    </row>
  </sheetData>
  <mergeCells count="1">
    <mergeCell ref="A1:F1"/>
  </mergeCells>
  <printOptions horizontalCentered="1"/>
  <pageMargins left="0.5" right="0.5" top="1" bottom="1" header="0.5" footer="0.5"/>
  <pageSetup orientation="portrait" paperSize="9" fitToHeight="1" fitToWidth="1"/>
</worksheet>
</file>

<file path=xl/worksheets/sheet3.xml><?xml version="1.0" encoding="utf-8"?>
<worksheet xmlns="http://schemas.openxmlformats.org/spreadsheetml/2006/main">
  <sheetPr>
    <outlinePr summaryBelow="1" summaryRight="1"/>
    <pageSetUpPr fitToPage="1"/>
  </sheetPr>
  <dimension ref="A1:F6"/>
  <sheetViews>
    <sheetView workbookViewId="0">
      <selection activeCell="A1" sqref="A1"/>
    </sheetView>
  </sheetViews>
  <sheetFormatPr baseColWidth="8" defaultRowHeight="15"/>
  <cols>
    <col width="6" customWidth="1" min="1" max="1"/>
    <col width="20" customWidth="1" min="2" max="2"/>
    <col width="30" customWidth="1" min="3" max="3"/>
    <col width="16" customWidth="1" min="4" max="4"/>
    <col width="22" customWidth="1" min="5" max="5"/>
    <col width="14" customWidth="1" min="6" max="6"/>
  </cols>
  <sheetData>
    <row r="1">
      <c r="A1" s="13" t="inlineStr">
        <is>
          <t>関係者マスタ（貸主・借主・連帯保証人）</t>
        </is>
      </c>
    </row>
    <row r="3">
      <c r="A3" s="9" t="inlineStr">
        <is>
          <t>区分</t>
        </is>
      </c>
      <c r="B3" s="9" t="inlineStr">
        <is>
          <t>氏名</t>
        </is>
      </c>
      <c r="C3" s="9" t="inlineStr">
        <is>
          <t>住所</t>
        </is>
      </c>
      <c r="D3" s="9" t="inlineStr">
        <is>
          <t>電話</t>
        </is>
      </c>
      <c r="E3" s="9" t="inlineStr">
        <is>
          <t>メール</t>
        </is>
      </c>
      <c r="F3" s="9" t="inlineStr">
        <is>
          <t>印鑑証明日</t>
        </is>
      </c>
    </row>
    <row r="4">
      <c r="A4" s="14" t="inlineStr">
        <is>
          <t>貸主（甲）</t>
        </is>
      </c>
      <c r="B4" s="14" t="inlineStr">
        <is>
          <t>山田　太郎</t>
        </is>
      </c>
      <c r="C4" s="14" t="inlineStr">
        <is>
          <t>東京都新宿区西新宿1-1-1</t>
        </is>
      </c>
      <c r="D4" s="14" t="inlineStr">
        <is>
          <t>090-0000-0000</t>
        </is>
      </c>
      <c r="E4" s="14" t="inlineStr">
        <is>
          <t>yamada@example.com</t>
        </is>
      </c>
      <c r="F4" s="14" t="inlineStr">
        <is>
          <t>2026/05/01</t>
        </is>
      </c>
    </row>
    <row r="5">
      <c r="A5" s="14" t="inlineStr">
        <is>
          <t>借主（乙）</t>
        </is>
      </c>
      <c r="B5" s="14" t="inlineStr">
        <is>
          <t>山田　花子</t>
        </is>
      </c>
      <c r="C5" s="14" t="inlineStr">
        <is>
          <t>東京都渋谷区渋谷2-2-2</t>
        </is>
      </c>
      <c r="D5" s="14" t="inlineStr">
        <is>
          <t>090-1111-1111</t>
        </is>
      </c>
      <c r="E5" s="14" t="inlineStr">
        <is>
          <t>hanako@example.com</t>
        </is>
      </c>
      <c r="F5" s="14" t="inlineStr">
        <is>
          <t>2026/05/01</t>
        </is>
      </c>
    </row>
    <row r="6">
      <c r="A6" s="14" t="inlineStr">
        <is>
          <t>連帯保証人（丙）</t>
        </is>
      </c>
      <c r="B6" s="14" t="inlineStr">
        <is>
          <t>佐藤　次郎</t>
        </is>
      </c>
      <c r="C6" s="14" t="inlineStr">
        <is>
          <t>東京都品川区大崎3-3-3</t>
        </is>
      </c>
      <c r="D6" s="14" t="inlineStr">
        <is>
          <t>090-2222-2222</t>
        </is>
      </c>
      <c r="E6" s="14" t="inlineStr">
        <is>
          <t>sato@example.com</t>
        </is>
      </c>
      <c r="F6" s="14" t="inlineStr">
        <is>
          <t>2026/05/01</t>
        </is>
      </c>
    </row>
  </sheetData>
  <mergeCells count="1">
    <mergeCell ref="A1:F1"/>
  </mergeCells>
  <printOptions horizontalCentered="1"/>
  <pageMargins left="0.5" right="0.5" top="1" bottom="1" header="0.5" footer="0.5"/>
  <pageSetup orientation="portrait" paperSize="9" fitToHeight="1" fitToWidth="1"/>
</worksheet>
</file>

<file path=xl/worksheets/sheet4.xml><?xml version="1.0" encoding="utf-8"?>
<worksheet xmlns="http://schemas.openxmlformats.org/spreadsheetml/2006/main">
  <sheetPr>
    <outlinePr summaryBelow="1" summaryRight="1"/>
    <pageSetUpPr fitToPage="1"/>
  </sheetPr>
  <dimension ref="A1:A18"/>
  <sheetViews>
    <sheetView workbookViewId="0">
      <selection activeCell="A1" sqref="A1"/>
    </sheetView>
  </sheetViews>
  <sheetFormatPr baseColWidth="8" defaultRowHeight="15"/>
  <cols>
    <col width="100" customWidth="1" min="1" max="1"/>
  </cols>
  <sheetData>
    <row r="1">
      <c r="A1" s="15" t="inlineStr">
        <is>
          <t>■ 使い方</t>
        </is>
      </c>
    </row>
    <row r="2">
      <c r="A2" s="3" t="inlineStr"/>
    </row>
    <row r="3">
      <c r="A3" s="3" t="inlineStr">
        <is>
          <t>1. 「返済計算」シートのD3〜D8に貸付条件を入力</t>
        </is>
      </c>
    </row>
    <row r="4">
      <c r="A4" s="3" t="inlineStr">
        <is>
          <t xml:space="preserve">   - D3: 貸付金額</t>
        </is>
      </c>
    </row>
    <row r="5">
      <c r="A5" s="3" t="inlineStr">
        <is>
          <t xml:space="preserve">   - D4: 年利率（利息制限法上限以下）</t>
        </is>
      </c>
    </row>
    <row r="6">
      <c r="A6" s="3" t="inlineStr">
        <is>
          <t xml:space="preserve">   - D5: 貸付期間（月）</t>
        </is>
      </c>
    </row>
    <row r="7">
      <c r="A7" s="3" t="inlineStr">
        <is>
          <t xml:space="preserve">   - D6: 貸付日</t>
        </is>
      </c>
    </row>
    <row r="8">
      <c r="A8" s="3" t="inlineStr">
        <is>
          <t xml:space="preserve">   - D7: 初回返済日</t>
        </is>
      </c>
    </row>
    <row r="9">
      <c r="A9" s="3" t="inlineStr">
        <is>
          <t xml:space="preserve">   - D8: 返済方式（1=元利均等, 2=元金均等）</t>
        </is>
      </c>
    </row>
    <row r="10">
      <c r="A10" s="3" t="inlineStr"/>
    </row>
    <row r="11">
      <c r="A11" s="3" t="inlineStr">
        <is>
          <t>2. B16セルに毎月返済額が自動計算される（PMT関数）</t>
        </is>
      </c>
    </row>
    <row r="12">
      <c r="A12" s="3" t="inlineStr">
        <is>
          <t>3. 19行目以降の返済明細表に元金・利息内訳が自動表示</t>
        </is>
      </c>
    </row>
    <row r="13">
      <c r="A13" s="3" t="inlineStr">
        <is>
          <t>4. 「利息制限法早見表」シートで適法金利を確認</t>
        </is>
      </c>
    </row>
    <row r="14">
      <c r="A14" s="3" t="inlineStr">
        <is>
          <t>5. 「関係者マスタ」シートに貸主・借主・連帯保証人情報を記入</t>
        </is>
      </c>
    </row>
    <row r="15">
      <c r="A15" s="3" t="inlineStr"/>
    </row>
    <row r="16">
      <c r="A16" s="3" t="inlineStr">
        <is>
          <t>★利息制限法を超える利率は無効です（超過分は返還請求可）</t>
        </is>
      </c>
    </row>
    <row r="17">
      <c r="A17" s="3" t="inlineStr">
        <is>
          <t>★遅延損害金は個人間で利率の1.46倍まで（業者は1.5倍まで）</t>
        </is>
      </c>
    </row>
    <row r="18">
      <c r="A18" s="3" t="inlineStr">
        <is>
          <t>★連帯保証人の極度額（民法改正対応）は必ず明記</t>
        </is>
      </c>
    </row>
  </sheetData>
  <printOptions horizontalCentered="1"/>
  <pageMargins left="0.5" right="0.5" top="1" bottom="1" header="0.5" footer="0.5"/>
  <pageSetup orientation="portrait" paperSize="9" fitToHeight="1" fitToWidth="1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2026-05-12T09:27:43Z</dcterms:created>
  <dcterms:modified xmlns:dcterms="http://purl.org/dc/terms/" xmlns:xsi="http://www.w3.org/2001/XMLSchema-instance" xsi:type="dcterms:W3CDTF">2026-05-12T09:27:43Z</dcterms:modified>
</cp:coreProperties>
</file>