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設定" sheetId="1" state="visible" r:id="rId1"/>
    <sheet xmlns:r="http://schemas.openxmlformats.org/officeDocument/2006/relationships" name="従業員マスタ" sheetId="2" state="visible" r:id="rId2"/>
    <sheet xmlns:r="http://schemas.openxmlformats.org/officeDocument/2006/relationships" name="月次計算" sheetId="3" state="visible" r:id="rId3"/>
    <sheet xmlns:r="http://schemas.openxmlformats.org/officeDocument/2006/relationships" name="給与台帳" sheetId="4" state="visible" r:id="rId4"/>
    <sheet xmlns:r="http://schemas.openxmlformats.org/officeDocument/2006/relationships" name="記入例" sheetId="5" state="visible" r:id="rId5"/>
    <sheet xmlns:r="http://schemas.openxmlformats.org/officeDocument/2006/relationships" name="使い方" sheetId="6" state="visible" r:id="rId6"/>
    <sheet xmlns:r="http://schemas.openxmlformats.org/officeDocument/2006/relationships" name="料率・等級表" sheetId="7" state="visible" r:id="rId7"/>
  </sheets>
  <definedNames>
    <definedName name="_xlnm.Print_Area" localSheetId="2">'月次計算'!$A$1:$S$23</definedName>
    <definedName name="_xlnm.Print_Area" localSheetId="4">'記入例'!$A$1:$S$30</definedName>
  </definedNames>
  <calcPr calcId="124519" fullCalcOnLoad="1"/>
</workbook>
</file>

<file path=xl/styles.xml><?xml version="1.0" encoding="utf-8"?>
<styleSheet xmlns="http://schemas.openxmlformats.org/spreadsheetml/2006/main">
  <numFmts count="8">
    <numFmt numFmtId="164" formatCode="0.000%"/>
    <numFmt numFmtId="165" formatCode="0.0%"/>
    <numFmt numFmtId="166" formatCode="yyyy/m/d"/>
    <numFmt numFmtId="167" formatCode="yyyy&quot;年&quot;m&quot;月&quot;"/>
    <numFmt numFmtId="168" formatCode="yyyy&quot;年&quot;m&quot;月分&quot;"/>
    <numFmt numFmtId="169" formatCode="0&quot;年&quot;"/>
    <numFmt numFmtId="170" formatCode="0.00&quot;%&quot;"/>
    <numFmt numFmtId="171" formatCode="yyyy&quot;年&quot;m&quot;月&quot;d&quot;日&quot;"/>
  </numFmts>
  <fonts count="9">
    <font>
      <name val="Calibri"/>
      <family val="2"/>
      <color theme="1"/>
      <sz val="11"/>
      <scheme val="minor"/>
    </font>
    <font>
      <name val="Yu Gothic"/>
      <b val="1"/>
      <color rgb="00FFFFFF"/>
      <sz val="13"/>
    </font>
    <font>
      <name val="Yu Gothic"/>
      <color rgb="0066707A"/>
      <sz val="9"/>
    </font>
    <font>
      <name val="Yu Gothic"/>
      <b val="1"/>
      <color rgb="00FFFFFF"/>
      <sz val="10"/>
    </font>
    <font>
      <name val="Yu Gothic"/>
      <b val="1"/>
      <color rgb="001B3A5C"/>
      <sz val="10"/>
    </font>
    <font>
      <name val="Yu Gothic"/>
      <color rgb="001A1A1A"/>
      <sz val="10"/>
    </font>
    <font>
      <name val="Yu Gothic"/>
      <b val="1"/>
      <color rgb="00B3261E"/>
      <sz val="10"/>
    </font>
    <font>
      <name val="Yu Gothic"/>
      <color theme="1"/>
      <sz val="11"/>
    </font>
    <font>
      <name val="Yu Gothic"/>
      <b val="1"/>
      <color rgb="FF1B3A5C"/>
      <sz val="10"/>
    </font>
  </fonts>
  <fills count="6">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66707A"/>
      </patternFill>
    </fill>
  </fills>
  <borders count="9">
    <border>
      <left/>
      <right/>
      <top/>
      <bottom/>
      <diagonal/>
    </border>
    <border>
      <left style="thin">
        <color rgb="00B9C4CF"/>
      </left>
      <right style="thin">
        <color rgb="00B9C4CF"/>
      </right>
      <top style="thin">
        <color rgb="00B9C4CF"/>
      </top>
      <bottom style="thin">
        <color rgb="00B9C4CF"/>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61">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0" borderId="0" applyAlignment="1" pivotButton="0" quotePrefix="0" xfId="0">
      <alignment horizontal="left" vertical="center" wrapText="1"/>
    </xf>
    <xf numFmtId="0" fontId="3" fillId="2" borderId="1" applyAlignment="1" pivotButton="0" quotePrefix="0" xfId="0">
      <alignment horizontal="center" vertical="center" wrapText="1"/>
    </xf>
    <xf numFmtId="0" fontId="4" fillId="3" borderId="1" applyAlignment="1" pivotButton="0" quotePrefix="0" xfId="0">
      <alignment horizontal="left" vertical="center" wrapText="1"/>
    </xf>
    <xf numFmtId="0" fontId="5" fillId="4" borderId="1" applyAlignment="1" pivotButton="0" quotePrefix="0" xfId="0">
      <alignment horizontal="center" vertical="center" wrapText="1"/>
    </xf>
    <xf numFmtId="0" fontId="2" fillId="0" borderId="1" applyAlignment="1" pivotButton="0" quotePrefix="0" xfId="0">
      <alignment horizontal="left" vertical="center" wrapText="1"/>
    </xf>
    <xf numFmtId="0" fontId="3" fillId="2" borderId="0" applyAlignment="1" pivotButton="0" quotePrefix="0" xfId="0">
      <alignment horizontal="left" vertical="center" wrapText="1"/>
    </xf>
    <xf numFmtId="10" fontId="5" fillId="0" borderId="1" applyAlignment="1" pivotButton="0" quotePrefix="0" xfId="0">
      <alignment horizontal="center" vertical="center" wrapText="1"/>
    </xf>
    <xf numFmtId="164" fontId="5" fillId="0" borderId="1" applyAlignment="1" pivotButton="0" quotePrefix="0" xfId="0">
      <alignment horizontal="center" vertical="center" wrapText="1"/>
    </xf>
    <xf numFmtId="165" fontId="5"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5" fillId="4" borderId="1" applyAlignment="1" pivotButton="0" quotePrefix="0" xfId="0">
      <alignment horizontal="left" vertical="center" wrapText="1"/>
    </xf>
    <xf numFmtId="166" fontId="5" fillId="4" borderId="1" applyAlignment="1" pivotButton="0" quotePrefix="0" xfId="0">
      <alignment horizontal="center" vertical="center" wrapText="1"/>
    </xf>
    <xf numFmtId="3" fontId="5" fillId="4" borderId="1" applyAlignment="1" pivotButton="0" quotePrefix="0" xfId="0">
      <alignment horizontal="right" vertical="center"/>
    </xf>
    <xf numFmtId="3" fontId="5" fillId="0" borderId="1" applyAlignment="1" pivotButton="0" quotePrefix="0" xfId="0">
      <alignment horizontal="right" vertical="center"/>
    </xf>
    <xf numFmtId="1" fontId="5" fillId="4" borderId="1" applyAlignment="1" pivotButton="0" quotePrefix="0" xfId="0">
      <alignment horizontal="center" vertical="center" wrapText="1"/>
    </xf>
    <xf numFmtId="0" fontId="4" fillId="3" borderId="1" applyAlignment="1" pivotButton="0" quotePrefix="0" xfId="0">
      <alignment horizontal="center" vertical="center" wrapText="1"/>
    </xf>
    <xf numFmtId="167" fontId="5" fillId="4" borderId="1" applyAlignment="1" pivotButton="0" quotePrefix="0" xfId="0">
      <alignment horizontal="center" vertical="center" wrapText="1"/>
    </xf>
    <xf numFmtId="168" fontId="5" fillId="0" borderId="1" applyAlignment="1" pivotButton="0" quotePrefix="0" xfId="0">
      <alignment horizontal="center" vertical="center" wrapText="1"/>
    </xf>
    <xf numFmtId="0" fontId="5" fillId="0" borderId="1" applyAlignment="1" pivotButton="0" quotePrefix="0" xfId="0">
      <alignment horizontal="left" vertical="center" wrapText="1"/>
    </xf>
    <xf numFmtId="0" fontId="6" fillId="0" borderId="1" applyAlignment="1" pivotButton="0" quotePrefix="0" xfId="0">
      <alignment horizontal="left" vertical="center" wrapText="1"/>
    </xf>
    <xf numFmtId="0" fontId="4" fillId="0" borderId="0" applyAlignment="1" pivotButton="0" quotePrefix="0" xfId="0">
      <alignment horizontal="left" vertical="center" wrapText="1"/>
    </xf>
    <xf numFmtId="0" fontId="3" fillId="5" borderId="1" applyAlignment="1" pivotButton="0" quotePrefix="0" xfId="0">
      <alignment horizontal="center" vertical="center" wrapText="1"/>
    </xf>
    <xf numFmtId="166" fontId="5" fillId="0" borderId="1" applyAlignment="1" pivotButton="0" quotePrefix="0" xfId="0">
      <alignment horizontal="center" vertical="center" wrapText="1"/>
    </xf>
    <xf numFmtId="1" fontId="5" fillId="0" borderId="1" applyAlignment="1" pivotButton="0" quotePrefix="0" xfId="0">
      <alignment horizontal="center" vertical="center" wrapText="1"/>
    </xf>
    <xf numFmtId="0" fontId="5" fillId="3" borderId="1" applyAlignment="1" pivotButton="0" quotePrefix="0" xfId="0">
      <alignment horizontal="left" vertical="center" wrapText="1"/>
    </xf>
    <xf numFmtId="3" fontId="4" fillId="3" borderId="1" applyAlignment="1" pivotButton="0" quotePrefix="0" xfId="0">
      <alignment horizontal="right" vertical="center"/>
    </xf>
    <xf numFmtId="169" fontId="5" fillId="4" borderId="1" applyAlignment="1" pivotButton="0" quotePrefix="0" xfId="0">
      <alignment horizontal="center" vertical="center" wrapText="1"/>
    </xf>
    <xf numFmtId="167" fontId="5" fillId="0" borderId="1" applyAlignment="1" pivotButton="0" quotePrefix="0" xfId="0">
      <alignment horizontal="center" vertical="center" wrapText="1"/>
    </xf>
    <xf numFmtId="0" fontId="0" fillId="0" borderId="4" pivotButton="0" quotePrefix="0" xfId="0"/>
    <xf numFmtId="0" fontId="0" fillId="0" borderId="5" pivotButton="0" quotePrefix="0" xfId="0"/>
    <xf numFmtId="0" fontId="5" fillId="0" borderId="0" applyAlignment="1" pivotButton="0" quotePrefix="0" xfId="0">
      <alignment horizontal="left" vertical="center" wrapText="1"/>
    </xf>
    <xf numFmtId="170" fontId="5" fillId="0" borderId="1" applyAlignment="1" pivotButton="0" quotePrefix="0" xfId="0">
      <alignment horizontal="right" vertical="center"/>
    </xf>
    <xf numFmtId="10" fontId="5" fillId="0" borderId="1" applyAlignment="1" pivotButton="0" quotePrefix="0" xfId="0">
      <alignment horizontal="right" vertical="center"/>
    </xf>
    <xf numFmtId="9" fontId="5" fillId="0" borderId="1" applyAlignment="1" pivotButton="0" quotePrefix="0" xfId="0">
      <alignment horizontal="right" vertical="center"/>
    </xf>
    <xf numFmtId="168" fontId="5" fillId="0" borderId="1" applyAlignment="1" pivotButton="0" quotePrefix="0" xfId="0">
      <alignment horizontal="right" vertical="center"/>
    </xf>
    <xf numFmtId="164" fontId="5" fillId="0" borderId="1" applyAlignment="1" pivotButton="0" quotePrefix="0" xfId="0">
      <alignment horizontal="right" vertical="center"/>
    </xf>
    <xf numFmtId="169" fontId="5" fillId="0" borderId="1" applyAlignment="1" pivotButton="0" quotePrefix="0" xfId="0">
      <alignment horizontal="right" vertical="center"/>
    </xf>
    <xf numFmtId="171" fontId="5" fillId="0" borderId="1" applyAlignment="1" pivotButton="0" quotePrefix="0" xfId="0">
      <alignment horizontal="right" vertical="center"/>
    </xf>
    <xf numFmtId="165" fontId="5" fillId="0" borderId="1" applyAlignment="1" pivotButton="0" quotePrefix="0" xfId="0">
      <alignment horizontal="right" vertical="center"/>
    </xf>
    <xf numFmtId="0" fontId="1" fillId="2" borderId="6" applyAlignment="1" pivotButton="0" quotePrefix="0" xfId="0">
      <alignment horizontal="left" vertical="center" wrapText="1"/>
    </xf>
    <xf numFmtId="0" fontId="7" fillId="0" borderId="6" pivotButton="0" quotePrefix="0" xfId="0"/>
    <xf numFmtId="0" fontId="2" fillId="0" borderId="6" applyAlignment="1" pivotButton="0" quotePrefix="0" xfId="0">
      <alignment horizontal="left" vertical="center" wrapText="1"/>
    </xf>
    <xf numFmtId="0" fontId="8" fillId="3" borderId="1" applyAlignment="1" pivotButton="0" quotePrefix="0" xfId="0">
      <alignment horizontal="left" vertical="center" wrapText="1"/>
    </xf>
    <xf numFmtId="0" fontId="3" fillId="2" borderId="6" applyAlignment="1" pivotButton="0" quotePrefix="0" xfId="0">
      <alignment horizontal="left" vertical="center" wrapText="1"/>
    </xf>
    <xf numFmtId="0" fontId="8" fillId="3" borderId="1" applyAlignment="1" pivotButton="0" quotePrefix="0" xfId="0">
      <alignment horizontal="center" vertical="center" wrapText="1"/>
    </xf>
    <xf numFmtId="167" fontId="5" fillId="4" borderId="1" applyAlignment="1" pivotButton="0" quotePrefix="0" xfId="0">
      <alignment horizontal="center" vertical="center" wrapText="1"/>
    </xf>
    <xf numFmtId="168" fontId="5" fillId="0" borderId="1" applyAlignment="1" pivotButton="0" quotePrefix="0" xfId="0">
      <alignment horizontal="center" vertical="center" wrapText="1"/>
    </xf>
    <xf numFmtId="0" fontId="7" fillId="0" borderId="7" pivotButton="0" quotePrefix="0" xfId="0"/>
    <xf numFmtId="0" fontId="7" fillId="0" borderId="8" pivotButton="0" quotePrefix="0" xfId="0"/>
    <xf numFmtId="0" fontId="8" fillId="0" borderId="6" applyAlignment="1" pivotButton="0" quotePrefix="0" xfId="0">
      <alignment horizontal="left" vertical="center" wrapText="1"/>
    </xf>
    <xf numFmtId="3" fontId="8" fillId="3" borderId="1" applyAlignment="1" pivotButton="0" quotePrefix="0" xfId="0">
      <alignment horizontal="right" vertical="center"/>
    </xf>
    <xf numFmtId="169" fontId="5" fillId="4" borderId="1" applyAlignment="1" pivotButton="0" quotePrefix="0" xfId="0">
      <alignment horizontal="center" vertical="center" wrapText="1"/>
    </xf>
    <xf numFmtId="167" fontId="5" fillId="0" borderId="1" applyAlignment="1" pivotButton="0" quotePrefix="0" xfId="0">
      <alignment horizontal="center" vertical="center" wrapText="1"/>
    </xf>
    <xf numFmtId="0" fontId="5" fillId="0" borderId="6" applyAlignment="1" pivotButton="0" quotePrefix="0" xfId="0">
      <alignment horizontal="left" vertical="center" wrapText="1"/>
    </xf>
    <xf numFmtId="170" fontId="5" fillId="0" borderId="1" applyAlignment="1" pivotButton="0" quotePrefix="0" xfId="0">
      <alignment horizontal="right" vertical="center"/>
    </xf>
    <xf numFmtId="168" fontId="5" fillId="0" borderId="1" applyAlignment="1" pivotButton="0" quotePrefix="0" xfId="0">
      <alignment horizontal="right" vertical="center"/>
    </xf>
    <xf numFmtId="169" fontId="5" fillId="0" borderId="1" applyAlignment="1" pivotButton="0" quotePrefix="0" xfId="0">
      <alignment horizontal="right" vertical="center"/>
    </xf>
    <xf numFmtId="171" fontId="5" fillId="0"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46" customWidth="1" min="1" max="1"/>
    <col width="30" customWidth="1" min="2" max="2"/>
    <col width="70" customWidth="1" min="3" max="3"/>
  </cols>
  <sheetData>
    <row r="1">
      <c r="A1" s="42" t="inlineStr">
        <is>
          <t>設定（最初に1回だけ）</t>
        </is>
      </c>
      <c r="B1" s="43" t="n"/>
      <c r="C1" s="43" t="n"/>
    </row>
    <row r="2" ht="20" customHeight="1">
      <c r="A2" s="44" t="inlineStr">
        <is>
          <t>黄色のセルだけ選びます。白いセルは自動で決まります。</t>
        </is>
      </c>
      <c r="B2" s="43" t="n"/>
      <c r="C2" s="43" t="n"/>
    </row>
    <row r="3">
      <c r="A3" s="4" t="inlineStr">
        <is>
          <t>項目</t>
        </is>
      </c>
      <c r="B3" s="4" t="inlineStr">
        <is>
          <t>選ぶ・入れる</t>
        </is>
      </c>
      <c r="C3" s="4" t="inlineStr">
        <is>
          <t>メモ</t>
        </is>
      </c>
    </row>
    <row r="4" ht="34" customHeight="1">
      <c r="A4" s="45" t="inlineStr">
        <is>
          <t>事業の種類（雇用保険料率が決まります）</t>
        </is>
      </c>
      <c r="B4" s="6" t="inlineStr">
        <is>
          <t>一般の事業</t>
        </is>
      </c>
      <c r="C4" s="7" t="inlineStr">
        <is>
          <t>園芸サービス・牛馬の育成・酪農・養鶏・養豚・内水面養殖などは「一般の事業」の率になります（厚生労働省の注記）</t>
        </is>
      </c>
    </row>
    <row r="5" ht="34" customHeight="1">
      <c r="A5" s="45" t="inlineStr">
        <is>
          <t>事業所の所在地（健康保険料率が決まります）</t>
        </is>
      </c>
      <c r="B5" s="6" t="inlineStr">
        <is>
          <t>東京都</t>
        </is>
      </c>
      <c r="C5" s="7" t="inlineStr">
        <is>
          <t>協会けんぽの都道府県単位の率。健康保険組合に入っている会社は組合の率を「料率・等級表」に入れ直してください</t>
        </is>
      </c>
    </row>
    <row r="6" ht="34" customHeight="1">
      <c r="A6" s="45" t="inlineStr">
        <is>
          <t>社会保険料の控除のしかた</t>
        </is>
      </c>
      <c r="B6" s="6" t="inlineStr">
        <is>
          <t>前月分を当月の給与から控除</t>
        </is>
      </c>
      <c r="C6" s="7" t="inlineStr">
        <is>
          <t>健康保険法第167条は、前月の標準報酬月額に係る保険料を報酬から控除できると定めています。会社の取り決めに合わせて選びます</t>
        </is>
      </c>
    </row>
    <row r="7">
      <c r="A7" s="43" t="n"/>
      <c r="B7" s="43" t="n"/>
      <c r="C7" s="43" t="n"/>
    </row>
    <row r="8">
      <c r="A8" s="46" t="inlineStr">
        <is>
          <t>計算に使う率（自動）</t>
        </is>
      </c>
      <c r="B8" s="43" t="n"/>
      <c r="C8" s="43" t="n"/>
    </row>
    <row r="9" ht="24" customHeight="1">
      <c r="A9" s="45" t="inlineStr">
        <is>
          <t>健康保険料率（労使合計）</t>
        </is>
      </c>
      <c r="B9" s="9">
        <f>INDEX('料率・等級表'!$C$5:$C$51,MATCH(B5,'料率・等級表'!$A$5:$A$51,0))/100</f>
        <v/>
      </c>
      <c r="C9" s="7" t="inlineStr">
        <is>
          <t>協会けんぽ 令和8年度・3月分（4月納付分）から。本人負担は折半</t>
        </is>
      </c>
    </row>
    <row r="10" ht="24" customHeight="1">
      <c r="A10" s="45" t="inlineStr">
        <is>
          <t>介護保険料率（40歳から64歳）</t>
        </is>
      </c>
      <c r="B10" s="9">
        <f>'料率・等級表'!$M$5</f>
        <v/>
      </c>
      <c r="C10" s="7" t="inlineStr">
        <is>
          <t>全国一律。本人負担は折半</t>
        </is>
      </c>
    </row>
    <row r="11" ht="24" customHeight="1">
      <c r="A11" s="45" t="inlineStr">
        <is>
          <t>子ども・子育て支援金率</t>
        </is>
      </c>
      <c r="B11" s="9">
        <f>'料率・等級表'!$M$6</f>
        <v/>
      </c>
      <c r="C11" s="7" t="inlineStr">
        <is>
          <t>全国一律。令和8年4月分（5月納付分）の保険料から。本人負担は折半</t>
        </is>
      </c>
    </row>
    <row r="12" ht="24" customHeight="1">
      <c r="A12" s="45" t="inlineStr">
        <is>
          <t>厚生年金保険料率</t>
        </is>
      </c>
      <c r="B12" s="10">
        <f>'料率・等級表'!$M$8</f>
        <v/>
      </c>
      <c r="C12" s="7" t="inlineStr">
        <is>
          <t>平成29年9月から固定。本人負担は折半</t>
        </is>
      </c>
    </row>
    <row r="13" ht="24" customHeight="1">
      <c r="A13" s="45" t="inlineStr">
        <is>
          <t>雇用保険料率（本人負担）</t>
        </is>
      </c>
      <c r="B13" s="11">
        <f>INDEX('料率・等級表'!$M$19:$M$21,MATCH(B4,'料率・等級表'!$L$19:$L$21,0))</f>
        <v/>
      </c>
      <c r="C13" s="7" t="inlineStr">
        <is>
          <t>令和8年度（2026年4月〜2027年3月）。賃金総額に掛けます</t>
        </is>
      </c>
    </row>
    <row r="14">
      <c r="A14" s="43" t="n"/>
      <c r="B14" s="43" t="n"/>
      <c r="C14" s="43" t="n"/>
    </row>
    <row r="15" ht="44" customHeight="1">
      <c r="A15" s="44" t="inlineStr">
        <is>
          <t>端数の処理: 本人負担分の社会保険料・雇用保険料は、50銭以下は切り捨て、50銭を超えたら切り上げて1円にします（協会けんぽの保険料額表の注記・厚生労働省の雇用保険料の説明）。会社と従業員が別の取り決めをしている場合はその取り決めに合わせて数式を直してください。</t>
        </is>
      </c>
      <c r="B15" s="43" t="n"/>
      <c r="C15" s="43" t="n"/>
    </row>
  </sheetData>
  <mergeCells count="4">
    <mergeCell ref="A1:C1"/>
    <mergeCell ref="A8:C8"/>
    <mergeCell ref="A2:C2"/>
    <mergeCell ref="A15:C15"/>
  </mergeCells>
  <dataValidations count="3">
    <dataValidation sqref="B4" showDropDown="0" showInputMessage="0" showErrorMessage="0" allowBlank="0" type="list">
      <formula1>"一般の事業,農林水産・清酒製造の事業,建設の事業"</formula1>
    </dataValidation>
    <dataValidation sqref="B5" showDropDown="0" showInputMessage="0" showErrorMessage="0" allowBlank="0" type="list">
      <formula1>='料率・等級表'!$A$5:$A$51</formula1>
    </dataValidation>
    <dataValidation sqref="B6" showDropDown="0" showInputMessage="0" showErrorMessage="0" allowBlank="0" type="list">
      <formula1>"前月分を当月の給与から控除,当月分を当月の給与から控除"</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K16"/>
  <sheetViews>
    <sheetView showGridLines="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6" customWidth="1" min="2" max="2"/>
    <col width="13" customWidth="1" min="3" max="3"/>
    <col width="16" customWidth="1" min="4" max="4"/>
    <col width="14" customWidth="1" min="5" max="5"/>
    <col width="14" customWidth="1" min="6" max="6"/>
    <col width="14" customWidth="1" min="7" max="7"/>
    <col width="13" customWidth="1" min="8" max="8"/>
    <col width="9" customWidth="1" min="9" max="9"/>
    <col width="9" customWidth="1" min="10" max="10"/>
    <col width="10" customWidth="1" min="11" max="11"/>
  </cols>
  <sheetData>
    <row r="1">
      <c r="A1" s="42" t="inlineStr">
        <is>
          <t>従業員マスタ（10名分）</t>
        </is>
      </c>
      <c r="B1" s="43" t="n"/>
      <c r="C1" s="43" t="n"/>
      <c r="D1" s="43" t="n"/>
      <c r="E1" s="43" t="n"/>
      <c r="F1" s="43" t="n"/>
      <c r="G1" s="43" t="n"/>
      <c r="H1" s="43" t="n"/>
      <c r="I1" s="43" t="n"/>
      <c r="J1" s="43" t="n"/>
      <c r="K1" s="43" t="n"/>
    </row>
    <row r="2" ht="30" customHeight="1">
      <c r="A2" s="44" t="inlineStr">
        <is>
          <t>黄色のセルに入れます。標準報酬月額は、標準報酬月額決定通知書に書かれた額を入れてください。通知書がなければ、報酬月額（4〜6月の平均など）を入れても等級表に当てはめて標準報酬月額を出します。</t>
        </is>
      </c>
      <c r="B2" s="43" t="n"/>
      <c r="C2" s="43" t="n"/>
      <c r="D2" s="43" t="n"/>
      <c r="E2" s="43" t="n"/>
      <c r="F2" s="43" t="n"/>
      <c r="G2" s="43" t="n"/>
      <c r="H2" s="43" t="n"/>
      <c r="I2" s="43" t="n"/>
      <c r="J2" s="43" t="n"/>
      <c r="K2" s="43" t="n"/>
    </row>
    <row r="3" ht="30" customHeight="1">
      <c r="A3" s="44" t="inlineStr">
        <is>
          <t>「扶養親族等の数」は、扶養控除等申告書の源泉控除対象配偶者と源泉控除対象親族の合計です。本人が障害者・寡婦・ひとり親・勤労学生なら、それぞれ1人ずつ加えます。</t>
        </is>
      </c>
      <c r="B3" s="43" t="n"/>
      <c r="C3" s="43" t="n"/>
      <c r="D3" s="43" t="n"/>
      <c r="E3" s="43" t="n"/>
      <c r="F3" s="43" t="n"/>
      <c r="G3" s="43" t="n"/>
      <c r="H3" s="43" t="n"/>
      <c r="I3" s="43" t="n"/>
      <c r="J3" s="43" t="n"/>
      <c r="K3" s="43" t="n"/>
    </row>
    <row r="4" ht="34" customHeight="1">
      <c r="A4" s="4" t="inlineStr">
        <is>
          <t>No</t>
        </is>
      </c>
      <c r="B4" s="4" t="inlineStr">
        <is>
          <t>氏名</t>
        </is>
      </c>
      <c r="C4" s="4" t="inlineStr">
        <is>
          <t>生年月日</t>
        </is>
      </c>
      <c r="D4" s="4" t="inlineStr">
        <is>
          <t>標準報酬月額
または報酬月額</t>
        </is>
      </c>
      <c r="E4" s="4" t="inlineStr">
        <is>
          <t>標準報酬月額
健保（自動）</t>
        </is>
      </c>
      <c r="F4" s="4" t="inlineStr">
        <is>
          <t>標準報酬月額
厚年（自動）</t>
        </is>
      </c>
      <c r="G4" s="4" t="inlineStr">
        <is>
          <t>扶養親族等
の数</t>
        </is>
      </c>
      <c r="H4" s="4" t="inlineStr">
        <is>
          <t>住民税
（月額）</t>
        </is>
      </c>
      <c r="I4" s="4" t="inlineStr">
        <is>
          <t>社会保険
加入</t>
        </is>
      </c>
      <c r="J4" s="4" t="inlineStr">
        <is>
          <t>雇用保険
加入</t>
        </is>
      </c>
      <c r="K4" s="4" t="inlineStr">
        <is>
          <t>税額表
の欄</t>
        </is>
      </c>
    </row>
    <row r="5">
      <c r="A5" s="12" t="n">
        <v>1</v>
      </c>
      <c r="B5" s="13" t="n"/>
      <c r="C5" s="14" t="n"/>
      <c r="D5" s="15" t="n"/>
      <c r="E5" s="16">
        <f>IF(D5="",0,LOOKUP(D5,'料率・等級表'!$I$5:$I$54,'料率・等級表'!$H$5:$H$54))</f>
        <v/>
      </c>
      <c r="F5" s="16">
        <f>IF(D5="",0,MEDIAN('料率・等級表'!$M$9,E5,'料率・等級表'!$M$10))</f>
        <v/>
      </c>
      <c r="G5" s="17" t="n">
        <v>0</v>
      </c>
      <c r="H5" s="15" t="n"/>
      <c r="I5" s="6" t="inlineStr">
        <is>
          <t>○</t>
        </is>
      </c>
      <c r="J5" s="6" t="inlineStr">
        <is>
          <t>○</t>
        </is>
      </c>
      <c r="K5" s="6" t="inlineStr">
        <is>
          <t>甲</t>
        </is>
      </c>
    </row>
    <row r="6">
      <c r="A6" s="12" t="n">
        <v>2</v>
      </c>
      <c r="B6" s="13" t="n"/>
      <c r="C6" s="14" t="n"/>
      <c r="D6" s="15" t="n"/>
      <c r="E6" s="16">
        <f>IF(D6="",0,LOOKUP(D6,'料率・等級表'!$I$5:$I$54,'料率・等級表'!$H$5:$H$54))</f>
        <v/>
      </c>
      <c r="F6" s="16">
        <f>IF(D6="",0,MEDIAN('料率・等級表'!$M$9,E6,'料率・等級表'!$M$10))</f>
        <v/>
      </c>
      <c r="G6" s="17" t="n">
        <v>0</v>
      </c>
      <c r="H6" s="15" t="n"/>
      <c r="I6" s="6" t="inlineStr">
        <is>
          <t>○</t>
        </is>
      </c>
      <c r="J6" s="6" t="inlineStr">
        <is>
          <t>○</t>
        </is>
      </c>
      <c r="K6" s="6" t="inlineStr">
        <is>
          <t>甲</t>
        </is>
      </c>
    </row>
    <row r="7">
      <c r="A7" s="12" t="n">
        <v>3</v>
      </c>
      <c r="B7" s="13" t="n"/>
      <c r="C7" s="14" t="n"/>
      <c r="D7" s="15" t="n"/>
      <c r="E7" s="16">
        <f>IF(D7="",0,LOOKUP(D7,'料率・等級表'!$I$5:$I$54,'料率・等級表'!$H$5:$H$54))</f>
        <v/>
      </c>
      <c r="F7" s="16">
        <f>IF(D7="",0,MEDIAN('料率・等級表'!$M$9,E7,'料率・等級表'!$M$10))</f>
        <v/>
      </c>
      <c r="G7" s="17" t="n">
        <v>0</v>
      </c>
      <c r="H7" s="15" t="n"/>
      <c r="I7" s="6" t="inlineStr">
        <is>
          <t>○</t>
        </is>
      </c>
      <c r="J7" s="6" t="inlineStr">
        <is>
          <t>○</t>
        </is>
      </c>
      <c r="K7" s="6" t="inlineStr">
        <is>
          <t>甲</t>
        </is>
      </c>
    </row>
    <row r="8">
      <c r="A8" s="12" t="n">
        <v>4</v>
      </c>
      <c r="B8" s="13" t="n"/>
      <c r="C8" s="14" t="n"/>
      <c r="D8" s="15" t="n"/>
      <c r="E8" s="16">
        <f>IF(D8="",0,LOOKUP(D8,'料率・等級表'!$I$5:$I$54,'料率・等級表'!$H$5:$H$54))</f>
        <v/>
      </c>
      <c r="F8" s="16">
        <f>IF(D8="",0,MEDIAN('料率・等級表'!$M$9,E8,'料率・等級表'!$M$10))</f>
        <v/>
      </c>
      <c r="G8" s="17" t="n">
        <v>0</v>
      </c>
      <c r="H8" s="15" t="n"/>
      <c r="I8" s="6" t="inlineStr">
        <is>
          <t>○</t>
        </is>
      </c>
      <c r="J8" s="6" t="inlineStr">
        <is>
          <t>○</t>
        </is>
      </c>
      <c r="K8" s="6" t="inlineStr">
        <is>
          <t>甲</t>
        </is>
      </c>
    </row>
    <row r="9">
      <c r="A9" s="12" t="n">
        <v>5</v>
      </c>
      <c r="B9" s="13" t="n"/>
      <c r="C9" s="14" t="n"/>
      <c r="D9" s="15" t="n"/>
      <c r="E9" s="16">
        <f>IF(D9="",0,LOOKUP(D9,'料率・等級表'!$I$5:$I$54,'料率・等級表'!$H$5:$H$54))</f>
        <v/>
      </c>
      <c r="F9" s="16">
        <f>IF(D9="",0,MEDIAN('料率・等級表'!$M$9,E9,'料率・等級表'!$M$10))</f>
        <v/>
      </c>
      <c r="G9" s="17" t="n">
        <v>0</v>
      </c>
      <c r="H9" s="15" t="n"/>
      <c r="I9" s="6" t="inlineStr">
        <is>
          <t>○</t>
        </is>
      </c>
      <c r="J9" s="6" t="inlineStr">
        <is>
          <t>○</t>
        </is>
      </c>
      <c r="K9" s="6" t="inlineStr">
        <is>
          <t>甲</t>
        </is>
      </c>
    </row>
    <row r="10">
      <c r="A10" s="12" t="n">
        <v>6</v>
      </c>
      <c r="B10" s="13" t="n"/>
      <c r="C10" s="14" t="n"/>
      <c r="D10" s="15" t="n"/>
      <c r="E10" s="16">
        <f>IF(D10="",0,LOOKUP(D10,'料率・等級表'!$I$5:$I$54,'料率・等級表'!$H$5:$H$54))</f>
        <v/>
      </c>
      <c r="F10" s="16">
        <f>IF(D10="",0,MEDIAN('料率・等級表'!$M$9,E10,'料率・等級表'!$M$10))</f>
        <v/>
      </c>
      <c r="G10" s="17" t="n">
        <v>0</v>
      </c>
      <c r="H10" s="15" t="n"/>
      <c r="I10" s="6" t="inlineStr">
        <is>
          <t>○</t>
        </is>
      </c>
      <c r="J10" s="6" t="inlineStr">
        <is>
          <t>○</t>
        </is>
      </c>
      <c r="K10" s="6" t="inlineStr">
        <is>
          <t>甲</t>
        </is>
      </c>
    </row>
    <row r="11">
      <c r="A11" s="12" t="n">
        <v>7</v>
      </c>
      <c r="B11" s="13" t="n"/>
      <c r="C11" s="14" t="n"/>
      <c r="D11" s="15" t="n"/>
      <c r="E11" s="16">
        <f>IF(D11="",0,LOOKUP(D11,'料率・等級表'!$I$5:$I$54,'料率・等級表'!$H$5:$H$54))</f>
        <v/>
      </c>
      <c r="F11" s="16">
        <f>IF(D11="",0,MEDIAN('料率・等級表'!$M$9,E11,'料率・等級表'!$M$10))</f>
        <v/>
      </c>
      <c r="G11" s="17" t="n">
        <v>0</v>
      </c>
      <c r="H11" s="15" t="n"/>
      <c r="I11" s="6" t="inlineStr">
        <is>
          <t>○</t>
        </is>
      </c>
      <c r="J11" s="6" t="inlineStr">
        <is>
          <t>○</t>
        </is>
      </c>
      <c r="K11" s="6" t="inlineStr">
        <is>
          <t>甲</t>
        </is>
      </c>
    </row>
    <row r="12">
      <c r="A12" s="12" t="n">
        <v>8</v>
      </c>
      <c r="B12" s="13" t="n"/>
      <c r="C12" s="14" t="n"/>
      <c r="D12" s="15" t="n"/>
      <c r="E12" s="16">
        <f>IF(D12="",0,LOOKUP(D12,'料率・等級表'!$I$5:$I$54,'料率・等級表'!$H$5:$H$54))</f>
        <v/>
      </c>
      <c r="F12" s="16">
        <f>IF(D12="",0,MEDIAN('料率・等級表'!$M$9,E12,'料率・等級表'!$M$10))</f>
        <v/>
      </c>
      <c r="G12" s="17" t="n">
        <v>0</v>
      </c>
      <c r="H12" s="15" t="n"/>
      <c r="I12" s="6" t="inlineStr">
        <is>
          <t>○</t>
        </is>
      </c>
      <c r="J12" s="6" t="inlineStr">
        <is>
          <t>○</t>
        </is>
      </c>
      <c r="K12" s="6" t="inlineStr">
        <is>
          <t>甲</t>
        </is>
      </c>
    </row>
    <row r="13">
      <c r="A13" s="12" t="n">
        <v>9</v>
      </c>
      <c r="B13" s="13" t="n"/>
      <c r="C13" s="14" t="n"/>
      <c r="D13" s="15" t="n"/>
      <c r="E13" s="16">
        <f>IF(D13="",0,LOOKUP(D13,'料率・等級表'!$I$5:$I$54,'料率・等級表'!$H$5:$H$54))</f>
        <v/>
      </c>
      <c r="F13" s="16">
        <f>IF(D13="",0,MEDIAN('料率・等級表'!$M$9,E13,'料率・等級表'!$M$10))</f>
        <v/>
      </c>
      <c r="G13" s="17" t="n">
        <v>0</v>
      </c>
      <c r="H13" s="15" t="n"/>
      <c r="I13" s="6" t="inlineStr">
        <is>
          <t>○</t>
        </is>
      </c>
      <c r="J13" s="6" t="inlineStr">
        <is>
          <t>○</t>
        </is>
      </c>
      <c r="K13" s="6" t="inlineStr">
        <is>
          <t>甲</t>
        </is>
      </c>
    </row>
    <row r="14">
      <c r="A14" s="12" t="n">
        <v>10</v>
      </c>
      <c r="B14" s="13" t="n"/>
      <c r="C14" s="14" t="n"/>
      <c r="D14" s="15" t="n"/>
      <c r="E14" s="16">
        <f>IF(D14="",0,LOOKUP(D14,'料率・等級表'!$I$5:$I$54,'料率・等級表'!$H$5:$H$54))</f>
        <v/>
      </c>
      <c r="F14" s="16">
        <f>IF(D14="",0,MEDIAN('料率・等級表'!$M$9,E14,'料率・等級表'!$M$10))</f>
        <v/>
      </c>
      <c r="G14" s="17" t="n">
        <v>0</v>
      </c>
      <c r="H14" s="15" t="n"/>
      <c r="I14" s="6" t="inlineStr">
        <is>
          <t>○</t>
        </is>
      </c>
      <c r="J14" s="6" t="inlineStr">
        <is>
          <t>○</t>
        </is>
      </c>
      <c r="K14" s="6" t="inlineStr">
        <is>
          <t>甲</t>
        </is>
      </c>
    </row>
    <row r="15">
      <c r="A15" s="43" t="n"/>
      <c r="B15" s="43" t="n"/>
      <c r="C15" s="43" t="n"/>
      <c r="D15" s="43" t="n"/>
      <c r="E15" s="43" t="n"/>
      <c r="F15" s="43" t="n"/>
      <c r="G15" s="43" t="n"/>
      <c r="H15" s="43" t="n"/>
      <c r="I15" s="43" t="n"/>
      <c r="J15" s="43" t="n"/>
      <c r="K15" s="43" t="n"/>
    </row>
    <row r="16" ht="64" customHeight="1">
      <c r="A16" s="44" t="inlineStr">
        <is>
          <t>・社会保険加入が「×」の人は、健康保険料・介護保険料・支援金・厚生年金保険料を0円で計算します。・税額表の欄が「乙」の人は、月次計算の「所得税を手入力する場合」の欄に税額を入れてください（乙欄は計算しません）。・住民税は6月に新しい額へ替わります。替えたあとに過去月のシートを開き直すと値が替わるので、確定した月のシートは「使い方」の手順で値に固定してください。</t>
        </is>
      </c>
      <c r="B16" s="43" t="n"/>
      <c r="C16" s="43" t="n"/>
      <c r="D16" s="43" t="n"/>
      <c r="E16" s="43" t="n"/>
      <c r="F16" s="43" t="n"/>
      <c r="G16" s="43" t="n"/>
      <c r="H16" s="43" t="n"/>
      <c r="I16" s="43" t="n"/>
      <c r="J16" s="43" t="n"/>
      <c r="K16" s="43" t="n"/>
    </row>
  </sheetData>
  <mergeCells count="4">
    <mergeCell ref="A2:K2"/>
    <mergeCell ref="A16:K16"/>
    <mergeCell ref="A1:K1"/>
    <mergeCell ref="A3:K3"/>
  </mergeCells>
  <dataValidations count="3">
    <dataValidation sqref="I5:J14" showDropDown="0" showInputMessage="0" showErrorMessage="0" allowBlank="0" type="list">
      <formula1>"○,×"</formula1>
    </dataValidation>
    <dataValidation sqref="K5:K14" showDropDown="0" showInputMessage="0" showErrorMessage="0" allowBlank="0" type="list">
      <formula1>"甲,乙"</formula1>
    </dataValidation>
    <dataValidation sqref="G5:G14" showDropDown="0" showInputMessage="0" showErrorMessage="0" allowBlank="1" type="whole" operator="between">
      <formula1>0</formula1>
      <formula2>20</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H23"/>
  <sheetViews>
    <sheetView showGridLines="0" workbookViewId="0">
      <pane xSplit="2" ySplit="9" topLeftCell="C10"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14" customWidth="1" min="2" max="2"/>
    <col width="12" customWidth="1" min="3" max="3"/>
    <col width="11" customWidth="1" min="4" max="4"/>
    <col width="11" customWidth="1" min="5" max="5"/>
    <col width="11" customWidth="1" min="6" max="6"/>
    <col width="10" customWidth="1" min="7" max="7"/>
    <col width="12" customWidth="1" min="8" max="8"/>
    <col width="15" customWidth="1" min="9" max="9"/>
    <col width="12" customWidth="1" min="10" max="10"/>
    <col width="11" customWidth="1" min="11" max="11"/>
    <col width="12" customWidth="1" min="12" max="12"/>
    <col width="11" customWidth="1" min="13" max="13"/>
    <col width="13" customWidth="1" min="14" max="14"/>
    <col width="11" customWidth="1" min="15" max="15"/>
    <col width="11" customWidth="1" min="16" max="16"/>
    <col width="12" customWidth="1" min="17" max="17"/>
    <col width="13" customWidth="1" min="18" max="18"/>
    <col width="26" customWidth="1" min="19" max="19"/>
    <col width="3" customWidth="1" min="20" max="20"/>
    <col width="12" customWidth="1" min="21" max="21"/>
    <col width="13" customWidth="1" min="22" max="22"/>
    <col width="13" customWidth="1" min="23" max="23"/>
    <col width="9" customWidth="1" min="24" max="24"/>
    <col width="8" customWidth="1" min="25" max="25"/>
    <col width="8" customWidth="1" min="26" max="26"/>
    <col width="8" customWidth="1" min="27" max="27"/>
    <col width="10" customWidth="1" min="28" max="28"/>
    <col width="12" customWidth="1" min="29" max="29"/>
    <col width="12" customWidth="1" min="30" max="30"/>
    <col width="11" customWidth="1" min="31" max="31"/>
    <col width="10" customWidth="1" min="32" max="32"/>
    <col width="12" customWidth="1" min="33" max="33"/>
    <col width="11" customWidth="1" min="34" max="34"/>
  </cols>
  <sheetData>
    <row r="1">
      <c r="A1" s="42" t="inlineStr">
        <is>
          <t>月次計算（10名×1か月）</t>
        </is>
      </c>
      <c r="B1" s="43" t="n"/>
      <c r="C1" s="43" t="n"/>
      <c r="D1" s="43" t="n"/>
      <c r="E1" s="43" t="n"/>
      <c r="F1" s="43" t="n"/>
      <c r="G1" s="43" t="n"/>
      <c r="H1" s="43" t="n"/>
      <c r="I1" s="43" t="n"/>
      <c r="J1" s="43" t="n"/>
      <c r="K1" s="43" t="n"/>
      <c r="L1" s="43" t="n"/>
      <c r="M1" s="43" t="n"/>
      <c r="N1" s="43" t="n"/>
      <c r="O1" s="43" t="n"/>
      <c r="P1" s="43" t="n"/>
      <c r="Q1" s="43" t="n"/>
      <c r="R1" s="43" t="n"/>
      <c r="S1" s="43" t="n"/>
      <c r="T1" s="43" t="n"/>
      <c r="U1" s="43" t="n"/>
      <c r="V1" s="43" t="n"/>
      <c r="W1" s="43" t="n"/>
      <c r="X1" s="43" t="n"/>
      <c r="Y1" s="43" t="n"/>
      <c r="Z1" s="43" t="n"/>
      <c r="AA1" s="43" t="n"/>
      <c r="AB1" s="43" t="n"/>
      <c r="AC1" s="43" t="n"/>
      <c r="AD1" s="43" t="n"/>
      <c r="AE1" s="43" t="n"/>
      <c r="AF1" s="43" t="n"/>
      <c r="AG1" s="43" t="n"/>
      <c r="AH1" s="43" t="n"/>
    </row>
    <row r="2" ht="30" customHeight="1">
      <c r="A2" s="44" t="inlineStr">
        <is>
          <t>この「月次計算」シートを残したままコピーし、コピーしたシートの名前を「2026-10」のように支給年月（半角・ハイフン）に変えて使います。黄色のセルに毎月の金額を入れます。</t>
        </is>
      </c>
      <c r="B2" s="43" t="n"/>
      <c r="C2" s="43" t="n"/>
      <c r="D2" s="43" t="n"/>
      <c r="E2" s="43" t="n"/>
      <c r="F2" s="43" t="n"/>
      <c r="G2" s="43" t="n"/>
      <c r="H2" s="43" t="n"/>
      <c r="I2" s="43" t="n"/>
      <c r="J2" s="43" t="n"/>
      <c r="K2" s="43" t="n"/>
      <c r="L2" s="43" t="n"/>
      <c r="M2" s="43" t="n"/>
      <c r="N2" s="43" t="n"/>
      <c r="O2" s="43" t="n"/>
      <c r="P2" s="43" t="n"/>
      <c r="Q2" s="43" t="n"/>
      <c r="R2" s="43" t="n"/>
      <c r="S2" s="43" t="n"/>
      <c r="T2" s="43" t="n"/>
      <c r="U2" s="43" t="n"/>
      <c r="V2" s="43" t="n"/>
      <c r="W2" s="43" t="n"/>
      <c r="X2" s="43" t="n"/>
      <c r="Y2" s="43" t="n"/>
      <c r="Z2" s="43" t="n"/>
      <c r="AA2" s="43" t="n"/>
      <c r="AB2" s="43" t="n"/>
      <c r="AC2" s="43" t="n"/>
      <c r="AD2" s="43" t="n"/>
      <c r="AE2" s="43" t="n"/>
      <c r="AF2" s="43" t="n"/>
      <c r="AG2" s="43" t="n"/>
      <c r="AH2" s="43" t="n"/>
    </row>
    <row r="3">
      <c r="A3" s="47" t="inlineStr">
        <is>
          <t>支給月</t>
        </is>
      </c>
      <c r="B3" s="48" t="n">
        <v>46296</v>
      </c>
      <c r="C3" s="44" t="inlineStr">
        <is>
          <t>← 給与を支払う月の1日を入れます（例: 2026/10/1）。シート名も同じ年月にします。</t>
        </is>
      </c>
      <c r="D3" s="43" t="n"/>
      <c r="E3" s="43" t="n"/>
      <c r="F3" s="43" t="n"/>
      <c r="G3" s="43" t="n"/>
      <c r="H3" s="43" t="n"/>
      <c r="I3" s="43" t="n"/>
      <c r="J3" s="43" t="n"/>
      <c r="K3" s="43" t="n"/>
      <c r="L3" s="43" t="n"/>
      <c r="M3" s="43" t="n"/>
      <c r="N3" s="43" t="n"/>
      <c r="O3" s="43" t="n"/>
      <c r="P3" s="43" t="n"/>
      <c r="Q3" s="43" t="n"/>
      <c r="R3" s="43" t="n"/>
      <c r="S3" s="43" t="n"/>
      <c r="T3" s="43" t="n"/>
      <c r="U3" s="43" t="n"/>
      <c r="V3" s="43" t="n"/>
      <c r="W3" s="43" t="n"/>
      <c r="X3" s="43" t="n"/>
      <c r="Y3" s="43" t="n"/>
      <c r="Z3" s="43" t="n"/>
      <c r="AA3" s="43" t="n"/>
      <c r="AB3" s="43" t="n"/>
      <c r="AC3" s="43" t="n"/>
      <c r="AD3" s="43" t="n"/>
      <c r="AE3" s="43" t="n"/>
      <c r="AF3" s="43" t="n"/>
      <c r="AG3" s="43" t="n"/>
      <c r="AH3" s="43" t="n"/>
    </row>
    <row r="4">
      <c r="A4" s="47" t="inlineStr">
        <is>
          <t>対象月</t>
        </is>
      </c>
      <c r="B4" s="49">
        <f>IF($B$3="","",IF('設定'!$B$6="当月分を当月の給与から控除",DATE(YEAR($B$3),MONTH($B$3),1),DATE(YEAR($B$3),MONTH($B$3)-1,1)))</f>
        <v/>
      </c>
      <c r="C4" s="44">
        <f>"← 控除する社会保険料の対象月。"&amp;IF($B$3="","",IF($B$4&gt;='料率・等級表'!$M$7,"子ども・子育て支援金は徴収あり（"&amp;TEXT('設定'!$B$11,"0.00%")&amp;"）","子ども・子育て支援金はこの対象月には徴収なし（2026年4月分から）"))</f>
        <v/>
      </c>
      <c r="D4" s="43" t="n"/>
      <c r="E4" s="43" t="n"/>
      <c r="F4" s="43" t="n"/>
      <c r="G4" s="43" t="n"/>
      <c r="H4" s="43" t="n"/>
      <c r="I4" s="43" t="n"/>
      <c r="J4" s="43" t="n"/>
      <c r="K4" s="43" t="n"/>
      <c r="L4" s="43" t="n"/>
      <c r="M4" s="43" t="n"/>
      <c r="N4" s="43" t="n"/>
      <c r="O4" s="43" t="n"/>
      <c r="P4" s="43" t="n"/>
      <c r="Q4" s="43" t="n"/>
      <c r="R4" s="43" t="n"/>
      <c r="S4" s="43" t="n"/>
      <c r="T4" s="43" t="n"/>
      <c r="U4" s="43" t="n"/>
      <c r="V4" s="43" t="n"/>
      <c r="W4" s="43" t="n"/>
      <c r="X4" s="43" t="n"/>
      <c r="Y4" s="43" t="n"/>
      <c r="Z4" s="43" t="n"/>
      <c r="AA4" s="43" t="n"/>
      <c r="AB4" s="43" t="n"/>
      <c r="AC4" s="43" t="n"/>
      <c r="AD4" s="43" t="n"/>
      <c r="AE4" s="43" t="n"/>
      <c r="AF4" s="43" t="n"/>
      <c r="AG4" s="43" t="n"/>
      <c r="AH4" s="43" t="n"/>
    </row>
    <row r="5">
      <c r="A5" s="47" t="inlineStr">
        <is>
          <t>前提</t>
        </is>
      </c>
      <c r="B5" s="21">
        <f>'設定'!$B$5&amp;"／"&amp;'設定'!$B$4&amp;"／"&amp;'設定'!$B$6&amp;"（設定シートの選択）"</f>
        <v/>
      </c>
      <c r="C5" s="50" t="n"/>
      <c r="D5" s="50" t="n"/>
      <c r="E5" s="50" t="n"/>
      <c r="F5" s="50" t="n"/>
      <c r="G5" s="50" t="n"/>
      <c r="H5" s="50" t="n"/>
      <c r="I5" s="50" t="n"/>
      <c r="J5" s="50" t="n"/>
      <c r="K5" s="50" t="n"/>
      <c r="L5" s="50" t="n"/>
      <c r="M5" s="50" t="n"/>
      <c r="N5" s="50" t="n"/>
      <c r="O5" s="50" t="n"/>
      <c r="P5" s="50" t="n"/>
      <c r="Q5" s="50" t="n"/>
      <c r="R5" s="50" t="n"/>
      <c r="S5" s="51" t="n"/>
      <c r="T5" s="43" t="n"/>
      <c r="U5" s="43" t="n"/>
      <c r="V5" s="43" t="n"/>
      <c r="W5" s="43" t="n"/>
      <c r="X5" s="43" t="n"/>
      <c r="Y5" s="43" t="n"/>
      <c r="Z5" s="43" t="n"/>
      <c r="AA5" s="43" t="n"/>
      <c r="AB5" s="43" t="n"/>
      <c r="AC5" s="43" t="n"/>
      <c r="AD5" s="43" t="n"/>
      <c r="AE5" s="43" t="n"/>
      <c r="AF5" s="43" t="n"/>
      <c r="AG5" s="43" t="n"/>
      <c r="AH5" s="43" t="n"/>
    </row>
    <row r="6">
      <c r="A6" s="47" t="inlineStr">
        <is>
          <t>確認</t>
        </is>
      </c>
      <c r="B6" s="22">
        <f>IF($B$3="","支給年月を入れてください",IF(OR($B$4&lt;'料率・等級表'!$M$11,$B$4&gt;'料率・等級表'!$M$12),"【要確認】健康保険料率は令和8年度（2026年3月分〜2027年2月分）用です。対象年月を確認してください。","")&amp;IF(YEAR($B$3)&lt;&gt;'料率・等級表'!$M$13,"【要確認】所得税の算式は2026年中に支払う給与（令和8年分）用です。","")&amp;IF(OR($B$3&lt;'料率・等級表'!$M$14,$B$3&gt;'料率・等級表'!$M$15),"【要確認】雇用保険料率は2026年4月〜2027年3月の支払用です。",""))</f>
        <v/>
      </c>
      <c r="C6" s="50" t="n"/>
      <c r="D6" s="50" t="n"/>
      <c r="E6" s="50" t="n"/>
      <c r="F6" s="50" t="n"/>
      <c r="G6" s="50" t="n"/>
      <c r="H6" s="50" t="n"/>
      <c r="I6" s="50" t="n"/>
      <c r="J6" s="50" t="n"/>
      <c r="K6" s="50" t="n"/>
      <c r="L6" s="50" t="n"/>
      <c r="M6" s="50" t="n"/>
      <c r="N6" s="50" t="n"/>
      <c r="O6" s="50" t="n"/>
      <c r="P6" s="50" t="n"/>
      <c r="Q6" s="50" t="n"/>
      <c r="R6" s="50" t="n"/>
      <c r="S6" s="51" t="n"/>
      <c r="T6" s="43" t="n"/>
      <c r="U6" s="43" t="n"/>
      <c r="V6" s="43" t="n"/>
      <c r="W6" s="43" t="n"/>
      <c r="X6" s="43" t="n"/>
      <c r="Y6" s="43" t="n"/>
      <c r="Z6" s="43" t="n"/>
      <c r="AA6" s="43" t="n"/>
      <c r="AB6" s="43" t="n"/>
      <c r="AC6" s="43" t="n"/>
      <c r="AD6" s="43" t="n"/>
      <c r="AE6" s="43" t="n"/>
      <c r="AF6" s="43" t="n"/>
      <c r="AG6" s="43" t="n"/>
      <c r="AH6" s="43" t="n"/>
    </row>
    <row r="7">
      <c r="A7" s="43" t="n"/>
      <c r="B7" s="43" t="n"/>
      <c r="C7" s="43" t="n"/>
      <c r="D7" s="43" t="n"/>
      <c r="E7" s="43" t="n"/>
      <c r="F7" s="43" t="n"/>
      <c r="G7" s="43" t="n"/>
      <c r="H7" s="43" t="n"/>
      <c r="I7" s="43" t="n"/>
      <c r="J7" s="43" t="n"/>
      <c r="K7" s="43" t="n"/>
      <c r="L7" s="43" t="n"/>
      <c r="M7" s="43" t="n"/>
      <c r="N7" s="43" t="n"/>
      <c r="O7" s="43" t="n"/>
      <c r="P7" s="43" t="n"/>
      <c r="Q7" s="43" t="n"/>
      <c r="R7" s="43" t="n"/>
      <c r="S7" s="43" t="n"/>
      <c r="T7" s="43" t="n"/>
      <c r="U7" s="43" t="n"/>
      <c r="V7" s="43" t="n"/>
      <c r="W7" s="43" t="n"/>
      <c r="X7" s="43" t="n"/>
      <c r="Y7" s="43" t="n"/>
      <c r="Z7" s="43" t="n"/>
      <c r="AA7" s="43" t="n"/>
      <c r="AB7" s="43" t="n"/>
      <c r="AC7" s="43" t="n"/>
      <c r="AD7" s="43" t="n"/>
      <c r="AE7" s="43" t="n"/>
      <c r="AF7" s="43" t="n"/>
      <c r="AG7" s="43" t="n"/>
      <c r="AH7" s="43" t="n"/>
    </row>
    <row r="8">
      <c r="A8" s="43" t="n"/>
      <c r="B8" s="43" t="n"/>
      <c r="C8" s="43" t="n"/>
      <c r="D8" s="43" t="n"/>
      <c r="E8" s="43" t="n"/>
      <c r="F8" s="43" t="n"/>
      <c r="G8" s="43" t="n"/>
      <c r="H8" s="43" t="n"/>
      <c r="I8" s="43" t="n"/>
      <c r="J8" s="43" t="n"/>
      <c r="K8" s="43" t="n"/>
      <c r="L8" s="43" t="n"/>
      <c r="M8" s="43" t="n"/>
      <c r="N8" s="43" t="n"/>
      <c r="O8" s="43" t="n"/>
      <c r="P8" s="43" t="n"/>
      <c r="Q8" s="43" t="n"/>
      <c r="R8" s="43" t="n"/>
      <c r="S8" s="43" t="n"/>
      <c r="T8" s="43" t="n"/>
      <c r="U8" s="52" t="inlineStr">
        <is>
          <t>計算の途中（触りません。従業員マスタと設定から自動で入ります）</t>
        </is>
      </c>
      <c r="V8" s="43" t="n"/>
      <c r="W8" s="43" t="n"/>
      <c r="X8" s="43" t="n"/>
      <c r="Y8" s="43" t="n"/>
      <c r="Z8" s="43" t="n"/>
      <c r="AA8" s="43" t="n"/>
      <c r="AB8" s="43" t="n"/>
      <c r="AC8" s="43" t="n"/>
      <c r="AD8" s="43" t="n"/>
      <c r="AE8" s="43" t="n"/>
      <c r="AF8" s="43" t="n"/>
      <c r="AG8" s="43" t="n"/>
      <c r="AH8" s="43" t="n"/>
    </row>
    <row r="9" ht="44" customHeight="1">
      <c r="A9" s="4" t="inlineStr">
        <is>
          <t>No</t>
        </is>
      </c>
      <c r="B9" s="4" t="inlineStr">
        <is>
          <t>氏名</t>
        </is>
      </c>
      <c r="C9" s="4" t="inlineStr">
        <is>
          <t>基本給</t>
        </is>
      </c>
      <c r="D9" s="4" t="inlineStr">
        <is>
          <t>残業手当</t>
        </is>
      </c>
      <c r="E9" s="4" t="inlineStr">
        <is>
          <t>諸手当
（課税）</t>
        </is>
      </c>
      <c r="F9" s="4" t="inlineStr">
        <is>
          <t>通勤手当
（支給額）</t>
        </is>
      </c>
      <c r="G9" s="4" t="inlineStr">
        <is>
          <t>うち
非課税額</t>
        </is>
      </c>
      <c r="H9" s="4" t="inlineStr">
        <is>
          <t>総支給額</t>
        </is>
      </c>
      <c r="I9" s="4" t="inlineStr">
        <is>
          <t>健康保険料
（介護・支援金を含む）</t>
        </is>
      </c>
      <c r="J9" s="4" t="inlineStr">
        <is>
          <t>厚生年金
保険料</t>
        </is>
      </c>
      <c r="K9" s="4" t="inlineStr">
        <is>
          <t>雇用保険料</t>
        </is>
      </c>
      <c r="L9" s="4" t="inlineStr">
        <is>
          <t>社会保険料
計</t>
        </is>
      </c>
      <c r="M9" s="4" t="inlineStr">
        <is>
          <t>所得税</t>
        </is>
      </c>
      <c r="N9" s="4" t="inlineStr">
        <is>
          <t>所得税を手入力
する場合</t>
        </is>
      </c>
      <c r="O9" s="4" t="inlineStr">
        <is>
          <t>住民税</t>
        </is>
      </c>
      <c r="P9" s="4" t="inlineStr">
        <is>
          <t>その他控除</t>
        </is>
      </c>
      <c r="Q9" s="4" t="inlineStr">
        <is>
          <t>控除合計</t>
        </is>
      </c>
      <c r="R9" s="4" t="inlineStr">
        <is>
          <t>差引支給額</t>
        </is>
      </c>
      <c r="S9" s="4" t="inlineStr">
        <is>
          <t>確認</t>
        </is>
      </c>
      <c r="T9" s="43" t="n"/>
      <c r="U9" s="24" t="inlineStr">
        <is>
          <t>生年月日</t>
        </is>
      </c>
      <c r="V9" s="24" t="inlineStr">
        <is>
          <t>標準報酬月額
健保</t>
        </is>
      </c>
      <c r="W9" s="24" t="inlineStr">
        <is>
          <t>標準報酬月額
厚年</t>
        </is>
      </c>
      <c r="X9" s="24" t="inlineStr">
        <is>
          <t>扶養親族
等の数</t>
        </is>
      </c>
      <c r="Y9" s="24" t="inlineStr">
        <is>
          <t>税額表
の欄</t>
        </is>
      </c>
      <c r="Z9" s="24" t="inlineStr">
        <is>
          <t>社会保険
加入</t>
        </is>
      </c>
      <c r="AA9" s="24" t="inlineStr">
        <is>
          <t>雇用保険
加入</t>
        </is>
      </c>
      <c r="AB9" s="24" t="inlineStr">
        <is>
          <t>介護保険
（1=対象）</t>
        </is>
      </c>
      <c r="AC9" s="24" t="inlineStr">
        <is>
          <t>課税される
支給額</t>
        </is>
      </c>
      <c r="AD9" s="24" t="inlineStr">
        <is>
          <t>社保控除後
の給与</t>
        </is>
      </c>
      <c r="AE9" s="24" t="inlineStr">
        <is>
          <t>給与所得
控除</t>
        </is>
      </c>
      <c r="AF9" s="24" t="inlineStr">
        <is>
          <t>基礎控除</t>
        </is>
      </c>
      <c r="AG9" s="24" t="inlineStr">
        <is>
          <t>課税給与
所得金額</t>
        </is>
      </c>
      <c r="AH9" s="24" t="inlineStr">
        <is>
          <t>所得税
（算式の額）</t>
        </is>
      </c>
    </row>
    <row r="10">
      <c r="A10" s="12" t="n">
        <v>1</v>
      </c>
      <c r="B10" s="21">
        <f>IF('従業員マスタ'!B5="","",'従業員マスタ'!B5)</f>
        <v/>
      </c>
      <c r="C10" s="15" t="n"/>
      <c r="D10" s="15" t="n"/>
      <c r="E10" s="15" t="n"/>
      <c r="F10" s="15" t="n"/>
      <c r="G10" s="15" t="n"/>
      <c r="H10" s="16">
        <f>IF($B10="","",C10+D10+E10+F10)</f>
        <v/>
      </c>
      <c r="I10" s="16">
        <f>IF($B10="","",IF($Z10="○",ROUND(ROUND($V10*('設定'!$B$9+$AB10*'設定'!$B$10+IF($B$4&gt;='料率・等級表'!$M$7,'設定'!$B$11,0))/2,4)-0.0001,0),0))</f>
        <v/>
      </c>
      <c r="J10" s="16">
        <f>IF($B10="","",IF($Z10="○",ROUND(ROUND($W10*'設定'!$B$12/2,4)-0.0001,0),0))</f>
        <v/>
      </c>
      <c r="K10" s="16">
        <f>IF($B10="","",IF($AA10="○",ROUND(ROUND($H10*'設定'!$B$13,4)-0.0001,0),0))</f>
        <v/>
      </c>
      <c r="L10" s="16">
        <f>IF($B10="","",I10+J10+K10)</f>
        <v/>
      </c>
      <c r="M10" s="16">
        <f>IF($B10="","",IF(N10&lt;&gt;"",N10,IF($Y10="乙",0,$AH10)))</f>
        <v/>
      </c>
      <c r="N10" s="15" t="n"/>
      <c r="O10" s="16">
        <f>IF($B10="","",IF('従業員マスタ'!H5="",0,'従業員マスタ'!H5))</f>
        <v/>
      </c>
      <c r="P10" s="15" t="n"/>
      <c r="Q10" s="16">
        <f>IF($B10="","",L10+M10+O10+P10)</f>
        <v/>
      </c>
      <c r="R10" s="16">
        <f>IF($B10="","",H10-Q10)</f>
        <v/>
      </c>
      <c r="S10" s="22">
        <f>IF($B10="","",IF(AND($Y10="乙",N10=""),"乙欄: 所得税を手入力してください",IF(AND($Z10="○",$V10=0),"標準報酬月額が未入力です",IF($H10=0,"支給額が未入力です",""))))</f>
        <v/>
      </c>
      <c r="T10" s="43" t="n"/>
      <c r="U10" s="25">
        <f>IF('従業員マスタ'!C5="","",'従業員マスタ'!C5)</f>
        <v/>
      </c>
      <c r="V10" s="16">
        <f>'従業員マスタ'!E5</f>
        <v/>
      </c>
      <c r="W10" s="16">
        <f>'従業員マスタ'!F5</f>
        <v/>
      </c>
      <c r="X10" s="26">
        <f>'従業員マスタ'!G5</f>
        <v/>
      </c>
      <c r="Y10" s="12">
        <f>'従業員マスタ'!K5</f>
        <v/>
      </c>
      <c r="Z10" s="12">
        <f>'従業員マスタ'!I5</f>
        <v/>
      </c>
      <c r="AA10" s="12">
        <f>'従業員マスタ'!J5</f>
        <v/>
      </c>
      <c r="AB10" s="26">
        <f>IF(OR($B10="",NOT(ISNUMBER($U10)),$Z10&lt;&gt;"○"),0,IF(AND($B$4&gt;=DATE(YEAR(EDATE($U10,480)-1),MONTH(EDATE($U10,480)-1),1),$B$4&lt;DATE(YEAR(EDATE($U10,780)-1),MONTH(EDATE($U10,780)-1),1)),1,0))</f>
        <v/>
      </c>
      <c r="AC10" s="16">
        <f>IF($B10="","",C10+D10+E10+MAX(0,F10-G10))</f>
        <v/>
      </c>
      <c r="AD10" s="16">
        <f>IF($B10="","",MAX(0,AC10-L10))</f>
        <v/>
      </c>
      <c r="AE10" s="16">
        <f>IF($B10="","",ROUNDUP(ROUND(AD10*LOOKUP(AD10,'料率・等級表'!$O$6:$O$10,'料率・等級表'!$P$6:$P$10)+LOOKUP(AD10,'料率・等級表'!$O$6:$O$10,'料率・等級表'!$Q$6:$Q$10),4),0))</f>
        <v/>
      </c>
      <c r="AF10" s="16">
        <f>IF($B10="","",LOOKUP(AD10,'料率・等級表'!$O$17:$O$21,'料率・等級表'!$P$17:$P$21))</f>
        <v/>
      </c>
      <c r="AG10" s="16">
        <f>IF($B10="","",MAX(0,AD10-AE10-'料率・等級表'!$P$13*X10-AF10))</f>
        <v/>
      </c>
      <c r="AH10" s="16">
        <f>IF($B10="","",ROUND(ROUND(AG10*LOOKUP(AG10,'料率・等級表'!$O$25:$O$31,'料率・等級表'!$P$25:$P$31),6)-LOOKUP(AG10,'料率・等級表'!$O$25:$O$31,'料率・等級表'!$Q$25:$Q$31),-1))</f>
        <v/>
      </c>
    </row>
    <row r="11">
      <c r="A11" s="12" t="n">
        <v>2</v>
      </c>
      <c r="B11" s="21">
        <f>IF('従業員マスタ'!B6="","",'従業員マスタ'!B6)</f>
        <v/>
      </c>
      <c r="C11" s="15" t="n"/>
      <c r="D11" s="15" t="n"/>
      <c r="E11" s="15" t="n"/>
      <c r="F11" s="15" t="n"/>
      <c r="G11" s="15" t="n"/>
      <c r="H11" s="16">
        <f>IF($B11="","",C11+D11+E11+F11)</f>
        <v/>
      </c>
      <c r="I11" s="16">
        <f>IF($B11="","",IF($Z11="○",ROUND(ROUND($V11*('設定'!$B$9+$AB11*'設定'!$B$10+IF($B$4&gt;='料率・等級表'!$M$7,'設定'!$B$11,0))/2,4)-0.0001,0),0))</f>
        <v/>
      </c>
      <c r="J11" s="16">
        <f>IF($B11="","",IF($Z11="○",ROUND(ROUND($W11*'設定'!$B$12/2,4)-0.0001,0),0))</f>
        <v/>
      </c>
      <c r="K11" s="16">
        <f>IF($B11="","",IF($AA11="○",ROUND(ROUND($H11*'設定'!$B$13,4)-0.0001,0),0))</f>
        <v/>
      </c>
      <c r="L11" s="16">
        <f>IF($B11="","",I11+J11+K11)</f>
        <v/>
      </c>
      <c r="M11" s="16">
        <f>IF($B11="","",IF(N11&lt;&gt;"",N11,IF($Y11="乙",0,$AH11)))</f>
        <v/>
      </c>
      <c r="N11" s="15" t="n"/>
      <c r="O11" s="16">
        <f>IF($B11="","",IF('従業員マスタ'!H6="",0,'従業員マスタ'!H6))</f>
        <v/>
      </c>
      <c r="P11" s="15" t="n"/>
      <c r="Q11" s="16">
        <f>IF($B11="","",L11+M11+O11+P11)</f>
        <v/>
      </c>
      <c r="R11" s="16">
        <f>IF($B11="","",H11-Q11)</f>
        <v/>
      </c>
      <c r="S11" s="22">
        <f>IF($B11="","",IF(AND($Y11="乙",N11=""),"乙欄: 所得税を手入力してください",IF(AND($Z11="○",$V11=0),"標準報酬月額が未入力です",IF($H11=0,"支給額が未入力です",""))))</f>
        <v/>
      </c>
      <c r="T11" s="43" t="n"/>
      <c r="U11" s="25">
        <f>IF('従業員マスタ'!C6="","",'従業員マスタ'!C6)</f>
        <v/>
      </c>
      <c r="V11" s="16">
        <f>'従業員マスタ'!E6</f>
        <v/>
      </c>
      <c r="W11" s="16">
        <f>'従業員マスタ'!F6</f>
        <v/>
      </c>
      <c r="X11" s="26">
        <f>'従業員マスタ'!G6</f>
        <v/>
      </c>
      <c r="Y11" s="12">
        <f>'従業員マスタ'!K6</f>
        <v/>
      </c>
      <c r="Z11" s="12">
        <f>'従業員マスタ'!I6</f>
        <v/>
      </c>
      <c r="AA11" s="12">
        <f>'従業員マスタ'!J6</f>
        <v/>
      </c>
      <c r="AB11" s="26">
        <f>IF(OR($B11="",NOT(ISNUMBER($U11)),$Z11&lt;&gt;"○"),0,IF(AND($B$4&gt;=DATE(YEAR(EDATE($U11,480)-1),MONTH(EDATE($U11,480)-1),1),$B$4&lt;DATE(YEAR(EDATE($U11,780)-1),MONTH(EDATE($U11,780)-1),1)),1,0))</f>
        <v/>
      </c>
      <c r="AC11" s="16">
        <f>IF($B11="","",C11+D11+E11+MAX(0,F11-G11))</f>
        <v/>
      </c>
      <c r="AD11" s="16">
        <f>IF($B11="","",MAX(0,AC11-L11))</f>
        <v/>
      </c>
      <c r="AE11" s="16">
        <f>IF($B11="","",ROUNDUP(ROUND(AD11*LOOKUP(AD11,'料率・等級表'!$O$6:$O$10,'料率・等級表'!$P$6:$P$10)+LOOKUP(AD11,'料率・等級表'!$O$6:$O$10,'料率・等級表'!$Q$6:$Q$10),4),0))</f>
        <v/>
      </c>
      <c r="AF11" s="16">
        <f>IF($B11="","",LOOKUP(AD11,'料率・等級表'!$O$17:$O$21,'料率・等級表'!$P$17:$P$21))</f>
        <v/>
      </c>
      <c r="AG11" s="16">
        <f>IF($B11="","",MAX(0,AD11-AE11-'料率・等級表'!$P$13*X11-AF11))</f>
        <v/>
      </c>
      <c r="AH11" s="16">
        <f>IF($B11="","",ROUND(ROUND(AG11*LOOKUP(AG11,'料率・等級表'!$O$25:$O$31,'料率・等級表'!$P$25:$P$31),6)-LOOKUP(AG11,'料率・等級表'!$O$25:$O$31,'料率・等級表'!$Q$25:$Q$31),-1))</f>
        <v/>
      </c>
    </row>
    <row r="12">
      <c r="A12" s="12" t="n">
        <v>3</v>
      </c>
      <c r="B12" s="21">
        <f>IF('従業員マスタ'!B7="","",'従業員マスタ'!B7)</f>
        <v/>
      </c>
      <c r="C12" s="15" t="n"/>
      <c r="D12" s="15" t="n"/>
      <c r="E12" s="15" t="n"/>
      <c r="F12" s="15" t="n"/>
      <c r="G12" s="15" t="n"/>
      <c r="H12" s="16">
        <f>IF($B12="","",C12+D12+E12+F12)</f>
        <v/>
      </c>
      <c r="I12" s="16">
        <f>IF($B12="","",IF($Z12="○",ROUND(ROUND($V12*('設定'!$B$9+$AB12*'設定'!$B$10+IF($B$4&gt;='料率・等級表'!$M$7,'設定'!$B$11,0))/2,4)-0.0001,0),0))</f>
        <v/>
      </c>
      <c r="J12" s="16">
        <f>IF($B12="","",IF($Z12="○",ROUND(ROUND($W12*'設定'!$B$12/2,4)-0.0001,0),0))</f>
        <v/>
      </c>
      <c r="K12" s="16">
        <f>IF($B12="","",IF($AA12="○",ROUND(ROUND($H12*'設定'!$B$13,4)-0.0001,0),0))</f>
        <v/>
      </c>
      <c r="L12" s="16">
        <f>IF($B12="","",I12+J12+K12)</f>
        <v/>
      </c>
      <c r="M12" s="16">
        <f>IF($B12="","",IF(N12&lt;&gt;"",N12,IF($Y12="乙",0,$AH12)))</f>
        <v/>
      </c>
      <c r="N12" s="15" t="n"/>
      <c r="O12" s="16">
        <f>IF($B12="","",IF('従業員マスタ'!H7="",0,'従業員マスタ'!H7))</f>
        <v/>
      </c>
      <c r="P12" s="15" t="n"/>
      <c r="Q12" s="16">
        <f>IF($B12="","",L12+M12+O12+P12)</f>
        <v/>
      </c>
      <c r="R12" s="16">
        <f>IF($B12="","",H12-Q12)</f>
        <v/>
      </c>
      <c r="S12" s="22">
        <f>IF($B12="","",IF(AND($Y12="乙",N12=""),"乙欄: 所得税を手入力してください",IF(AND($Z12="○",$V12=0),"標準報酬月額が未入力です",IF($H12=0,"支給額が未入力です",""))))</f>
        <v/>
      </c>
      <c r="T12" s="43" t="n"/>
      <c r="U12" s="25">
        <f>IF('従業員マスタ'!C7="","",'従業員マスタ'!C7)</f>
        <v/>
      </c>
      <c r="V12" s="16">
        <f>'従業員マスタ'!E7</f>
        <v/>
      </c>
      <c r="W12" s="16">
        <f>'従業員マスタ'!F7</f>
        <v/>
      </c>
      <c r="X12" s="26">
        <f>'従業員マスタ'!G7</f>
        <v/>
      </c>
      <c r="Y12" s="12">
        <f>'従業員マスタ'!K7</f>
        <v/>
      </c>
      <c r="Z12" s="12">
        <f>'従業員マスタ'!I7</f>
        <v/>
      </c>
      <c r="AA12" s="12">
        <f>'従業員マスタ'!J7</f>
        <v/>
      </c>
      <c r="AB12" s="26">
        <f>IF(OR($B12="",NOT(ISNUMBER($U12)),$Z12&lt;&gt;"○"),0,IF(AND($B$4&gt;=DATE(YEAR(EDATE($U12,480)-1),MONTH(EDATE($U12,480)-1),1),$B$4&lt;DATE(YEAR(EDATE($U12,780)-1),MONTH(EDATE($U12,780)-1),1)),1,0))</f>
        <v/>
      </c>
      <c r="AC12" s="16">
        <f>IF($B12="","",C12+D12+E12+MAX(0,F12-G12))</f>
        <v/>
      </c>
      <c r="AD12" s="16">
        <f>IF($B12="","",MAX(0,AC12-L12))</f>
        <v/>
      </c>
      <c r="AE12" s="16">
        <f>IF($B12="","",ROUNDUP(ROUND(AD12*LOOKUP(AD12,'料率・等級表'!$O$6:$O$10,'料率・等級表'!$P$6:$P$10)+LOOKUP(AD12,'料率・等級表'!$O$6:$O$10,'料率・等級表'!$Q$6:$Q$10),4),0))</f>
        <v/>
      </c>
      <c r="AF12" s="16">
        <f>IF($B12="","",LOOKUP(AD12,'料率・等級表'!$O$17:$O$21,'料率・等級表'!$P$17:$P$21))</f>
        <v/>
      </c>
      <c r="AG12" s="16">
        <f>IF($B12="","",MAX(0,AD12-AE12-'料率・等級表'!$P$13*X12-AF12))</f>
        <v/>
      </c>
      <c r="AH12" s="16">
        <f>IF($B12="","",ROUND(ROUND(AG12*LOOKUP(AG12,'料率・等級表'!$O$25:$O$31,'料率・等級表'!$P$25:$P$31),6)-LOOKUP(AG12,'料率・等級表'!$O$25:$O$31,'料率・等級表'!$Q$25:$Q$31),-1))</f>
        <v/>
      </c>
    </row>
    <row r="13">
      <c r="A13" s="12" t="n">
        <v>4</v>
      </c>
      <c r="B13" s="21">
        <f>IF('従業員マスタ'!B8="","",'従業員マスタ'!B8)</f>
        <v/>
      </c>
      <c r="C13" s="15" t="n"/>
      <c r="D13" s="15" t="n"/>
      <c r="E13" s="15" t="n"/>
      <c r="F13" s="15" t="n"/>
      <c r="G13" s="15" t="n"/>
      <c r="H13" s="16">
        <f>IF($B13="","",C13+D13+E13+F13)</f>
        <v/>
      </c>
      <c r="I13" s="16">
        <f>IF($B13="","",IF($Z13="○",ROUND(ROUND($V13*('設定'!$B$9+$AB13*'設定'!$B$10+IF($B$4&gt;='料率・等級表'!$M$7,'設定'!$B$11,0))/2,4)-0.0001,0),0))</f>
        <v/>
      </c>
      <c r="J13" s="16">
        <f>IF($B13="","",IF($Z13="○",ROUND(ROUND($W13*'設定'!$B$12/2,4)-0.0001,0),0))</f>
        <v/>
      </c>
      <c r="K13" s="16">
        <f>IF($B13="","",IF($AA13="○",ROUND(ROUND($H13*'設定'!$B$13,4)-0.0001,0),0))</f>
        <v/>
      </c>
      <c r="L13" s="16">
        <f>IF($B13="","",I13+J13+K13)</f>
        <v/>
      </c>
      <c r="M13" s="16">
        <f>IF($B13="","",IF(N13&lt;&gt;"",N13,IF($Y13="乙",0,$AH13)))</f>
        <v/>
      </c>
      <c r="N13" s="15" t="n"/>
      <c r="O13" s="16">
        <f>IF($B13="","",IF('従業員マスタ'!H8="",0,'従業員マスタ'!H8))</f>
        <v/>
      </c>
      <c r="P13" s="15" t="n"/>
      <c r="Q13" s="16">
        <f>IF($B13="","",L13+M13+O13+P13)</f>
        <v/>
      </c>
      <c r="R13" s="16">
        <f>IF($B13="","",H13-Q13)</f>
        <v/>
      </c>
      <c r="S13" s="22">
        <f>IF($B13="","",IF(AND($Y13="乙",N13=""),"乙欄: 所得税を手入力してください",IF(AND($Z13="○",$V13=0),"標準報酬月額が未入力です",IF($H13=0,"支給額が未入力です",""))))</f>
        <v/>
      </c>
      <c r="T13" s="43" t="n"/>
      <c r="U13" s="25">
        <f>IF('従業員マスタ'!C8="","",'従業員マスタ'!C8)</f>
        <v/>
      </c>
      <c r="V13" s="16">
        <f>'従業員マスタ'!E8</f>
        <v/>
      </c>
      <c r="W13" s="16">
        <f>'従業員マスタ'!F8</f>
        <v/>
      </c>
      <c r="X13" s="26">
        <f>'従業員マスタ'!G8</f>
        <v/>
      </c>
      <c r="Y13" s="12">
        <f>'従業員マスタ'!K8</f>
        <v/>
      </c>
      <c r="Z13" s="12">
        <f>'従業員マスタ'!I8</f>
        <v/>
      </c>
      <c r="AA13" s="12">
        <f>'従業員マスタ'!J8</f>
        <v/>
      </c>
      <c r="AB13" s="26">
        <f>IF(OR($B13="",NOT(ISNUMBER($U13)),$Z13&lt;&gt;"○"),0,IF(AND($B$4&gt;=DATE(YEAR(EDATE($U13,480)-1),MONTH(EDATE($U13,480)-1),1),$B$4&lt;DATE(YEAR(EDATE($U13,780)-1),MONTH(EDATE($U13,780)-1),1)),1,0))</f>
        <v/>
      </c>
      <c r="AC13" s="16">
        <f>IF($B13="","",C13+D13+E13+MAX(0,F13-G13))</f>
        <v/>
      </c>
      <c r="AD13" s="16">
        <f>IF($B13="","",MAX(0,AC13-L13))</f>
        <v/>
      </c>
      <c r="AE13" s="16">
        <f>IF($B13="","",ROUNDUP(ROUND(AD13*LOOKUP(AD13,'料率・等級表'!$O$6:$O$10,'料率・等級表'!$P$6:$P$10)+LOOKUP(AD13,'料率・等級表'!$O$6:$O$10,'料率・等級表'!$Q$6:$Q$10),4),0))</f>
        <v/>
      </c>
      <c r="AF13" s="16">
        <f>IF($B13="","",LOOKUP(AD13,'料率・等級表'!$O$17:$O$21,'料率・等級表'!$P$17:$P$21))</f>
        <v/>
      </c>
      <c r="AG13" s="16">
        <f>IF($B13="","",MAX(0,AD13-AE13-'料率・等級表'!$P$13*X13-AF13))</f>
        <v/>
      </c>
      <c r="AH13" s="16">
        <f>IF($B13="","",ROUND(ROUND(AG13*LOOKUP(AG13,'料率・等級表'!$O$25:$O$31,'料率・等級表'!$P$25:$P$31),6)-LOOKUP(AG13,'料率・等級表'!$O$25:$O$31,'料率・等級表'!$Q$25:$Q$31),-1))</f>
        <v/>
      </c>
    </row>
    <row r="14">
      <c r="A14" s="12" t="n">
        <v>5</v>
      </c>
      <c r="B14" s="21">
        <f>IF('従業員マスタ'!B9="","",'従業員マスタ'!B9)</f>
        <v/>
      </c>
      <c r="C14" s="15" t="n"/>
      <c r="D14" s="15" t="n"/>
      <c r="E14" s="15" t="n"/>
      <c r="F14" s="15" t="n"/>
      <c r="G14" s="15" t="n"/>
      <c r="H14" s="16">
        <f>IF($B14="","",C14+D14+E14+F14)</f>
        <v/>
      </c>
      <c r="I14" s="16">
        <f>IF($B14="","",IF($Z14="○",ROUND(ROUND($V14*('設定'!$B$9+$AB14*'設定'!$B$10+IF($B$4&gt;='料率・等級表'!$M$7,'設定'!$B$11,0))/2,4)-0.0001,0),0))</f>
        <v/>
      </c>
      <c r="J14" s="16">
        <f>IF($B14="","",IF($Z14="○",ROUND(ROUND($W14*'設定'!$B$12/2,4)-0.0001,0),0))</f>
        <v/>
      </c>
      <c r="K14" s="16">
        <f>IF($B14="","",IF($AA14="○",ROUND(ROUND($H14*'設定'!$B$13,4)-0.0001,0),0))</f>
        <v/>
      </c>
      <c r="L14" s="16">
        <f>IF($B14="","",I14+J14+K14)</f>
        <v/>
      </c>
      <c r="M14" s="16">
        <f>IF($B14="","",IF(N14&lt;&gt;"",N14,IF($Y14="乙",0,$AH14)))</f>
        <v/>
      </c>
      <c r="N14" s="15" t="n"/>
      <c r="O14" s="16">
        <f>IF($B14="","",IF('従業員マスタ'!H9="",0,'従業員マスタ'!H9))</f>
        <v/>
      </c>
      <c r="P14" s="15" t="n"/>
      <c r="Q14" s="16">
        <f>IF($B14="","",L14+M14+O14+P14)</f>
        <v/>
      </c>
      <c r="R14" s="16">
        <f>IF($B14="","",H14-Q14)</f>
        <v/>
      </c>
      <c r="S14" s="22">
        <f>IF($B14="","",IF(AND($Y14="乙",N14=""),"乙欄: 所得税を手入力してください",IF(AND($Z14="○",$V14=0),"標準報酬月額が未入力です",IF($H14=0,"支給額が未入力です",""))))</f>
        <v/>
      </c>
      <c r="T14" s="43" t="n"/>
      <c r="U14" s="25">
        <f>IF('従業員マスタ'!C9="","",'従業員マスタ'!C9)</f>
        <v/>
      </c>
      <c r="V14" s="16">
        <f>'従業員マスタ'!E9</f>
        <v/>
      </c>
      <c r="W14" s="16">
        <f>'従業員マスタ'!F9</f>
        <v/>
      </c>
      <c r="X14" s="26">
        <f>'従業員マスタ'!G9</f>
        <v/>
      </c>
      <c r="Y14" s="12">
        <f>'従業員マスタ'!K9</f>
        <v/>
      </c>
      <c r="Z14" s="12">
        <f>'従業員マスタ'!I9</f>
        <v/>
      </c>
      <c r="AA14" s="12">
        <f>'従業員マスタ'!J9</f>
        <v/>
      </c>
      <c r="AB14" s="26">
        <f>IF(OR($B14="",NOT(ISNUMBER($U14)),$Z14&lt;&gt;"○"),0,IF(AND($B$4&gt;=DATE(YEAR(EDATE($U14,480)-1),MONTH(EDATE($U14,480)-1),1),$B$4&lt;DATE(YEAR(EDATE($U14,780)-1),MONTH(EDATE($U14,780)-1),1)),1,0))</f>
        <v/>
      </c>
      <c r="AC14" s="16">
        <f>IF($B14="","",C14+D14+E14+MAX(0,F14-G14))</f>
        <v/>
      </c>
      <c r="AD14" s="16">
        <f>IF($B14="","",MAX(0,AC14-L14))</f>
        <v/>
      </c>
      <c r="AE14" s="16">
        <f>IF($B14="","",ROUNDUP(ROUND(AD14*LOOKUP(AD14,'料率・等級表'!$O$6:$O$10,'料率・等級表'!$P$6:$P$10)+LOOKUP(AD14,'料率・等級表'!$O$6:$O$10,'料率・等級表'!$Q$6:$Q$10),4),0))</f>
        <v/>
      </c>
      <c r="AF14" s="16">
        <f>IF($B14="","",LOOKUP(AD14,'料率・等級表'!$O$17:$O$21,'料率・等級表'!$P$17:$P$21))</f>
        <v/>
      </c>
      <c r="AG14" s="16">
        <f>IF($B14="","",MAX(0,AD14-AE14-'料率・等級表'!$P$13*X14-AF14))</f>
        <v/>
      </c>
      <c r="AH14" s="16">
        <f>IF($B14="","",ROUND(ROUND(AG14*LOOKUP(AG14,'料率・等級表'!$O$25:$O$31,'料率・等級表'!$P$25:$P$31),6)-LOOKUP(AG14,'料率・等級表'!$O$25:$O$31,'料率・等級表'!$Q$25:$Q$31),-1))</f>
        <v/>
      </c>
    </row>
    <row r="15">
      <c r="A15" s="12" t="n">
        <v>6</v>
      </c>
      <c r="B15" s="21">
        <f>IF('従業員マスタ'!B10="","",'従業員マスタ'!B10)</f>
        <v/>
      </c>
      <c r="C15" s="15" t="n"/>
      <c r="D15" s="15" t="n"/>
      <c r="E15" s="15" t="n"/>
      <c r="F15" s="15" t="n"/>
      <c r="G15" s="15" t="n"/>
      <c r="H15" s="16">
        <f>IF($B15="","",C15+D15+E15+F15)</f>
        <v/>
      </c>
      <c r="I15" s="16">
        <f>IF($B15="","",IF($Z15="○",ROUND(ROUND($V15*('設定'!$B$9+$AB15*'設定'!$B$10+IF($B$4&gt;='料率・等級表'!$M$7,'設定'!$B$11,0))/2,4)-0.0001,0),0))</f>
        <v/>
      </c>
      <c r="J15" s="16">
        <f>IF($B15="","",IF($Z15="○",ROUND(ROUND($W15*'設定'!$B$12/2,4)-0.0001,0),0))</f>
        <v/>
      </c>
      <c r="K15" s="16">
        <f>IF($B15="","",IF($AA15="○",ROUND(ROUND($H15*'設定'!$B$13,4)-0.0001,0),0))</f>
        <v/>
      </c>
      <c r="L15" s="16">
        <f>IF($B15="","",I15+J15+K15)</f>
        <v/>
      </c>
      <c r="M15" s="16">
        <f>IF($B15="","",IF(N15&lt;&gt;"",N15,IF($Y15="乙",0,$AH15)))</f>
        <v/>
      </c>
      <c r="N15" s="15" t="n"/>
      <c r="O15" s="16">
        <f>IF($B15="","",IF('従業員マスタ'!H10="",0,'従業員マスタ'!H10))</f>
        <v/>
      </c>
      <c r="P15" s="15" t="n"/>
      <c r="Q15" s="16">
        <f>IF($B15="","",L15+M15+O15+P15)</f>
        <v/>
      </c>
      <c r="R15" s="16">
        <f>IF($B15="","",H15-Q15)</f>
        <v/>
      </c>
      <c r="S15" s="22">
        <f>IF($B15="","",IF(AND($Y15="乙",N15=""),"乙欄: 所得税を手入力してください",IF(AND($Z15="○",$V15=0),"標準報酬月額が未入力です",IF($H15=0,"支給額が未入力です",""))))</f>
        <v/>
      </c>
      <c r="T15" s="43" t="n"/>
      <c r="U15" s="25">
        <f>IF('従業員マスタ'!C10="","",'従業員マスタ'!C10)</f>
        <v/>
      </c>
      <c r="V15" s="16">
        <f>'従業員マスタ'!E10</f>
        <v/>
      </c>
      <c r="W15" s="16">
        <f>'従業員マスタ'!F10</f>
        <v/>
      </c>
      <c r="X15" s="26">
        <f>'従業員マスタ'!G10</f>
        <v/>
      </c>
      <c r="Y15" s="12">
        <f>'従業員マスタ'!K10</f>
        <v/>
      </c>
      <c r="Z15" s="12">
        <f>'従業員マスタ'!I10</f>
        <v/>
      </c>
      <c r="AA15" s="12">
        <f>'従業員マスタ'!J10</f>
        <v/>
      </c>
      <c r="AB15" s="26">
        <f>IF(OR($B15="",NOT(ISNUMBER($U15)),$Z15&lt;&gt;"○"),0,IF(AND($B$4&gt;=DATE(YEAR(EDATE($U15,480)-1),MONTH(EDATE($U15,480)-1),1),$B$4&lt;DATE(YEAR(EDATE($U15,780)-1),MONTH(EDATE($U15,780)-1),1)),1,0))</f>
        <v/>
      </c>
      <c r="AC15" s="16">
        <f>IF($B15="","",C15+D15+E15+MAX(0,F15-G15))</f>
        <v/>
      </c>
      <c r="AD15" s="16">
        <f>IF($B15="","",MAX(0,AC15-L15))</f>
        <v/>
      </c>
      <c r="AE15" s="16">
        <f>IF($B15="","",ROUNDUP(ROUND(AD15*LOOKUP(AD15,'料率・等級表'!$O$6:$O$10,'料率・等級表'!$P$6:$P$10)+LOOKUP(AD15,'料率・等級表'!$O$6:$O$10,'料率・等級表'!$Q$6:$Q$10),4),0))</f>
        <v/>
      </c>
      <c r="AF15" s="16">
        <f>IF($B15="","",LOOKUP(AD15,'料率・等級表'!$O$17:$O$21,'料率・等級表'!$P$17:$P$21))</f>
        <v/>
      </c>
      <c r="AG15" s="16">
        <f>IF($B15="","",MAX(0,AD15-AE15-'料率・等級表'!$P$13*X15-AF15))</f>
        <v/>
      </c>
      <c r="AH15" s="16">
        <f>IF($B15="","",ROUND(ROUND(AG15*LOOKUP(AG15,'料率・等級表'!$O$25:$O$31,'料率・等級表'!$P$25:$P$31),6)-LOOKUP(AG15,'料率・等級表'!$O$25:$O$31,'料率・等級表'!$Q$25:$Q$31),-1))</f>
        <v/>
      </c>
    </row>
    <row r="16">
      <c r="A16" s="12" t="n">
        <v>7</v>
      </c>
      <c r="B16" s="21">
        <f>IF('従業員マスタ'!B11="","",'従業員マスタ'!B11)</f>
        <v/>
      </c>
      <c r="C16" s="15" t="n"/>
      <c r="D16" s="15" t="n"/>
      <c r="E16" s="15" t="n"/>
      <c r="F16" s="15" t="n"/>
      <c r="G16" s="15" t="n"/>
      <c r="H16" s="16">
        <f>IF($B16="","",C16+D16+E16+F16)</f>
        <v/>
      </c>
      <c r="I16" s="16">
        <f>IF($B16="","",IF($Z16="○",ROUND(ROUND($V16*('設定'!$B$9+$AB16*'設定'!$B$10+IF($B$4&gt;='料率・等級表'!$M$7,'設定'!$B$11,0))/2,4)-0.0001,0),0))</f>
        <v/>
      </c>
      <c r="J16" s="16">
        <f>IF($B16="","",IF($Z16="○",ROUND(ROUND($W16*'設定'!$B$12/2,4)-0.0001,0),0))</f>
        <v/>
      </c>
      <c r="K16" s="16">
        <f>IF($B16="","",IF($AA16="○",ROUND(ROUND($H16*'設定'!$B$13,4)-0.0001,0),0))</f>
        <v/>
      </c>
      <c r="L16" s="16">
        <f>IF($B16="","",I16+J16+K16)</f>
        <v/>
      </c>
      <c r="M16" s="16">
        <f>IF($B16="","",IF(N16&lt;&gt;"",N16,IF($Y16="乙",0,$AH16)))</f>
        <v/>
      </c>
      <c r="N16" s="15" t="n"/>
      <c r="O16" s="16">
        <f>IF($B16="","",IF('従業員マスタ'!H11="",0,'従業員マスタ'!H11))</f>
        <v/>
      </c>
      <c r="P16" s="15" t="n"/>
      <c r="Q16" s="16">
        <f>IF($B16="","",L16+M16+O16+P16)</f>
        <v/>
      </c>
      <c r="R16" s="16">
        <f>IF($B16="","",H16-Q16)</f>
        <v/>
      </c>
      <c r="S16" s="22">
        <f>IF($B16="","",IF(AND($Y16="乙",N16=""),"乙欄: 所得税を手入力してください",IF(AND($Z16="○",$V16=0),"標準報酬月額が未入力です",IF($H16=0,"支給額が未入力です",""))))</f>
        <v/>
      </c>
      <c r="T16" s="43" t="n"/>
      <c r="U16" s="25">
        <f>IF('従業員マスタ'!C11="","",'従業員マスタ'!C11)</f>
        <v/>
      </c>
      <c r="V16" s="16">
        <f>'従業員マスタ'!E11</f>
        <v/>
      </c>
      <c r="W16" s="16">
        <f>'従業員マスタ'!F11</f>
        <v/>
      </c>
      <c r="X16" s="26">
        <f>'従業員マスタ'!G11</f>
        <v/>
      </c>
      <c r="Y16" s="12">
        <f>'従業員マスタ'!K11</f>
        <v/>
      </c>
      <c r="Z16" s="12">
        <f>'従業員マスタ'!I11</f>
        <v/>
      </c>
      <c r="AA16" s="12">
        <f>'従業員マスタ'!J11</f>
        <v/>
      </c>
      <c r="AB16" s="26">
        <f>IF(OR($B16="",NOT(ISNUMBER($U16)),$Z16&lt;&gt;"○"),0,IF(AND($B$4&gt;=DATE(YEAR(EDATE($U16,480)-1),MONTH(EDATE($U16,480)-1),1),$B$4&lt;DATE(YEAR(EDATE($U16,780)-1),MONTH(EDATE($U16,780)-1),1)),1,0))</f>
        <v/>
      </c>
      <c r="AC16" s="16">
        <f>IF($B16="","",C16+D16+E16+MAX(0,F16-G16))</f>
        <v/>
      </c>
      <c r="AD16" s="16">
        <f>IF($B16="","",MAX(0,AC16-L16))</f>
        <v/>
      </c>
      <c r="AE16" s="16">
        <f>IF($B16="","",ROUNDUP(ROUND(AD16*LOOKUP(AD16,'料率・等級表'!$O$6:$O$10,'料率・等級表'!$P$6:$P$10)+LOOKUP(AD16,'料率・等級表'!$O$6:$O$10,'料率・等級表'!$Q$6:$Q$10),4),0))</f>
        <v/>
      </c>
      <c r="AF16" s="16">
        <f>IF($B16="","",LOOKUP(AD16,'料率・等級表'!$O$17:$O$21,'料率・等級表'!$P$17:$P$21))</f>
        <v/>
      </c>
      <c r="AG16" s="16">
        <f>IF($B16="","",MAX(0,AD16-AE16-'料率・等級表'!$P$13*X16-AF16))</f>
        <v/>
      </c>
      <c r="AH16" s="16">
        <f>IF($B16="","",ROUND(ROUND(AG16*LOOKUP(AG16,'料率・等級表'!$O$25:$O$31,'料率・等級表'!$P$25:$P$31),6)-LOOKUP(AG16,'料率・等級表'!$O$25:$O$31,'料率・等級表'!$Q$25:$Q$31),-1))</f>
        <v/>
      </c>
    </row>
    <row r="17">
      <c r="A17" s="12" t="n">
        <v>8</v>
      </c>
      <c r="B17" s="21">
        <f>IF('従業員マスタ'!B12="","",'従業員マスタ'!B12)</f>
        <v/>
      </c>
      <c r="C17" s="15" t="n"/>
      <c r="D17" s="15" t="n"/>
      <c r="E17" s="15" t="n"/>
      <c r="F17" s="15" t="n"/>
      <c r="G17" s="15" t="n"/>
      <c r="H17" s="16">
        <f>IF($B17="","",C17+D17+E17+F17)</f>
        <v/>
      </c>
      <c r="I17" s="16">
        <f>IF($B17="","",IF($Z17="○",ROUND(ROUND($V17*('設定'!$B$9+$AB17*'設定'!$B$10+IF($B$4&gt;='料率・等級表'!$M$7,'設定'!$B$11,0))/2,4)-0.0001,0),0))</f>
        <v/>
      </c>
      <c r="J17" s="16">
        <f>IF($B17="","",IF($Z17="○",ROUND(ROUND($W17*'設定'!$B$12/2,4)-0.0001,0),0))</f>
        <v/>
      </c>
      <c r="K17" s="16">
        <f>IF($B17="","",IF($AA17="○",ROUND(ROUND($H17*'設定'!$B$13,4)-0.0001,0),0))</f>
        <v/>
      </c>
      <c r="L17" s="16">
        <f>IF($B17="","",I17+J17+K17)</f>
        <v/>
      </c>
      <c r="M17" s="16">
        <f>IF($B17="","",IF(N17&lt;&gt;"",N17,IF($Y17="乙",0,$AH17)))</f>
        <v/>
      </c>
      <c r="N17" s="15" t="n"/>
      <c r="O17" s="16">
        <f>IF($B17="","",IF('従業員マスタ'!H12="",0,'従業員マスタ'!H12))</f>
        <v/>
      </c>
      <c r="P17" s="15" t="n"/>
      <c r="Q17" s="16">
        <f>IF($B17="","",L17+M17+O17+P17)</f>
        <v/>
      </c>
      <c r="R17" s="16">
        <f>IF($B17="","",H17-Q17)</f>
        <v/>
      </c>
      <c r="S17" s="22">
        <f>IF($B17="","",IF(AND($Y17="乙",N17=""),"乙欄: 所得税を手入力してください",IF(AND($Z17="○",$V17=0),"標準報酬月額が未入力です",IF($H17=0,"支給額が未入力です",""))))</f>
        <v/>
      </c>
      <c r="T17" s="43" t="n"/>
      <c r="U17" s="25">
        <f>IF('従業員マスタ'!C12="","",'従業員マスタ'!C12)</f>
        <v/>
      </c>
      <c r="V17" s="16">
        <f>'従業員マスタ'!E12</f>
        <v/>
      </c>
      <c r="W17" s="16">
        <f>'従業員マスタ'!F12</f>
        <v/>
      </c>
      <c r="X17" s="26">
        <f>'従業員マスタ'!G12</f>
        <v/>
      </c>
      <c r="Y17" s="12">
        <f>'従業員マスタ'!K12</f>
        <v/>
      </c>
      <c r="Z17" s="12">
        <f>'従業員マスタ'!I12</f>
        <v/>
      </c>
      <c r="AA17" s="12">
        <f>'従業員マスタ'!J12</f>
        <v/>
      </c>
      <c r="AB17" s="26">
        <f>IF(OR($B17="",NOT(ISNUMBER($U17)),$Z17&lt;&gt;"○"),0,IF(AND($B$4&gt;=DATE(YEAR(EDATE($U17,480)-1),MONTH(EDATE($U17,480)-1),1),$B$4&lt;DATE(YEAR(EDATE($U17,780)-1),MONTH(EDATE($U17,780)-1),1)),1,0))</f>
        <v/>
      </c>
      <c r="AC17" s="16">
        <f>IF($B17="","",C17+D17+E17+MAX(0,F17-G17))</f>
        <v/>
      </c>
      <c r="AD17" s="16">
        <f>IF($B17="","",MAX(0,AC17-L17))</f>
        <v/>
      </c>
      <c r="AE17" s="16">
        <f>IF($B17="","",ROUNDUP(ROUND(AD17*LOOKUP(AD17,'料率・等級表'!$O$6:$O$10,'料率・等級表'!$P$6:$P$10)+LOOKUP(AD17,'料率・等級表'!$O$6:$O$10,'料率・等級表'!$Q$6:$Q$10),4),0))</f>
        <v/>
      </c>
      <c r="AF17" s="16">
        <f>IF($B17="","",LOOKUP(AD17,'料率・等級表'!$O$17:$O$21,'料率・等級表'!$P$17:$P$21))</f>
        <v/>
      </c>
      <c r="AG17" s="16">
        <f>IF($B17="","",MAX(0,AD17-AE17-'料率・等級表'!$P$13*X17-AF17))</f>
        <v/>
      </c>
      <c r="AH17" s="16">
        <f>IF($B17="","",ROUND(ROUND(AG17*LOOKUP(AG17,'料率・等級表'!$O$25:$O$31,'料率・等級表'!$P$25:$P$31),6)-LOOKUP(AG17,'料率・等級表'!$O$25:$O$31,'料率・等級表'!$Q$25:$Q$31),-1))</f>
        <v/>
      </c>
    </row>
    <row r="18">
      <c r="A18" s="12" t="n">
        <v>9</v>
      </c>
      <c r="B18" s="21">
        <f>IF('従業員マスタ'!B13="","",'従業員マスタ'!B13)</f>
        <v/>
      </c>
      <c r="C18" s="15" t="n"/>
      <c r="D18" s="15" t="n"/>
      <c r="E18" s="15" t="n"/>
      <c r="F18" s="15" t="n"/>
      <c r="G18" s="15" t="n"/>
      <c r="H18" s="16">
        <f>IF($B18="","",C18+D18+E18+F18)</f>
        <v/>
      </c>
      <c r="I18" s="16">
        <f>IF($B18="","",IF($Z18="○",ROUND(ROUND($V18*('設定'!$B$9+$AB18*'設定'!$B$10+IF($B$4&gt;='料率・等級表'!$M$7,'設定'!$B$11,0))/2,4)-0.0001,0),0))</f>
        <v/>
      </c>
      <c r="J18" s="16">
        <f>IF($B18="","",IF($Z18="○",ROUND(ROUND($W18*'設定'!$B$12/2,4)-0.0001,0),0))</f>
        <v/>
      </c>
      <c r="K18" s="16">
        <f>IF($B18="","",IF($AA18="○",ROUND(ROUND($H18*'設定'!$B$13,4)-0.0001,0),0))</f>
        <v/>
      </c>
      <c r="L18" s="16">
        <f>IF($B18="","",I18+J18+K18)</f>
        <v/>
      </c>
      <c r="M18" s="16">
        <f>IF($B18="","",IF(N18&lt;&gt;"",N18,IF($Y18="乙",0,$AH18)))</f>
        <v/>
      </c>
      <c r="N18" s="15" t="n"/>
      <c r="O18" s="16">
        <f>IF($B18="","",IF('従業員マスタ'!H13="",0,'従業員マスタ'!H13))</f>
        <v/>
      </c>
      <c r="P18" s="15" t="n"/>
      <c r="Q18" s="16">
        <f>IF($B18="","",L18+M18+O18+P18)</f>
        <v/>
      </c>
      <c r="R18" s="16">
        <f>IF($B18="","",H18-Q18)</f>
        <v/>
      </c>
      <c r="S18" s="22">
        <f>IF($B18="","",IF(AND($Y18="乙",N18=""),"乙欄: 所得税を手入力してください",IF(AND($Z18="○",$V18=0),"標準報酬月額が未入力です",IF($H18=0,"支給額が未入力です",""))))</f>
        <v/>
      </c>
      <c r="T18" s="43" t="n"/>
      <c r="U18" s="25">
        <f>IF('従業員マスタ'!C13="","",'従業員マスタ'!C13)</f>
        <v/>
      </c>
      <c r="V18" s="16">
        <f>'従業員マスタ'!E13</f>
        <v/>
      </c>
      <c r="W18" s="16">
        <f>'従業員マスタ'!F13</f>
        <v/>
      </c>
      <c r="X18" s="26">
        <f>'従業員マスタ'!G13</f>
        <v/>
      </c>
      <c r="Y18" s="12">
        <f>'従業員マスタ'!K13</f>
        <v/>
      </c>
      <c r="Z18" s="12">
        <f>'従業員マスタ'!I13</f>
        <v/>
      </c>
      <c r="AA18" s="12">
        <f>'従業員マスタ'!J13</f>
        <v/>
      </c>
      <c r="AB18" s="26">
        <f>IF(OR($B18="",NOT(ISNUMBER($U18)),$Z18&lt;&gt;"○"),0,IF(AND($B$4&gt;=DATE(YEAR(EDATE($U18,480)-1),MONTH(EDATE($U18,480)-1),1),$B$4&lt;DATE(YEAR(EDATE($U18,780)-1),MONTH(EDATE($U18,780)-1),1)),1,0))</f>
        <v/>
      </c>
      <c r="AC18" s="16">
        <f>IF($B18="","",C18+D18+E18+MAX(0,F18-G18))</f>
        <v/>
      </c>
      <c r="AD18" s="16">
        <f>IF($B18="","",MAX(0,AC18-L18))</f>
        <v/>
      </c>
      <c r="AE18" s="16">
        <f>IF($B18="","",ROUNDUP(ROUND(AD18*LOOKUP(AD18,'料率・等級表'!$O$6:$O$10,'料率・等級表'!$P$6:$P$10)+LOOKUP(AD18,'料率・等級表'!$O$6:$O$10,'料率・等級表'!$Q$6:$Q$10),4),0))</f>
        <v/>
      </c>
      <c r="AF18" s="16">
        <f>IF($B18="","",LOOKUP(AD18,'料率・等級表'!$O$17:$O$21,'料率・等級表'!$P$17:$P$21))</f>
        <v/>
      </c>
      <c r="AG18" s="16">
        <f>IF($B18="","",MAX(0,AD18-AE18-'料率・等級表'!$P$13*X18-AF18))</f>
        <v/>
      </c>
      <c r="AH18" s="16">
        <f>IF($B18="","",ROUND(ROUND(AG18*LOOKUP(AG18,'料率・等級表'!$O$25:$O$31,'料率・等級表'!$P$25:$P$31),6)-LOOKUP(AG18,'料率・等級表'!$O$25:$O$31,'料率・等級表'!$Q$25:$Q$31),-1))</f>
        <v/>
      </c>
    </row>
    <row r="19">
      <c r="A19" s="12" t="n">
        <v>10</v>
      </c>
      <c r="B19" s="21">
        <f>IF('従業員マスタ'!B14="","",'従業員マスタ'!B14)</f>
        <v/>
      </c>
      <c r="C19" s="15" t="n"/>
      <c r="D19" s="15" t="n"/>
      <c r="E19" s="15" t="n"/>
      <c r="F19" s="15" t="n"/>
      <c r="G19" s="15" t="n"/>
      <c r="H19" s="16">
        <f>IF($B19="","",C19+D19+E19+F19)</f>
        <v/>
      </c>
      <c r="I19" s="16">
        <f>IF($B19="","",IF($Z19="○",ROUND(ROUND($V19*('設定'!$B$9+$AB19*'設定'!$B$10+IF($B$4&gt;='料率・等級表'!$M$7,'設定'!$B$11,0))/2,4)-0.0001,0),0))</f>
        <v/>
      </c>
      <c r="J19" s="16">
        <f>IF($B19="","",IF($Z19="○",ROUND(ROUND($W19*'設定'!$B$12/2,4)-0.0001,0),0))</f>
        <v/>
      </c>
      <c r="K19" s="16">
        <f>IF($B19="","",IF($AA19="○",ROUND(ROUND($H19*'設定'!$B$13,4)-0.0001,0),0))</f>
        <v/>
      </c>
      <c r="L19" s="16">
        <f>IF($B19="","",I19+J19+K19)</f>
        <v/>
      </c>
      <c r="M19" s="16">
        <f>IF($B19="","",IF(N19&lt;&gt;"",N19,IF($Y19="乙",0,$AH19)))</f>
        <v/>
      </c>
      <c r="N19" s="15" t="n"/>
      <c r="O19" s="16">
        <f>IF($B19="","",IF('従業員マスタ'!H14="",0,'従業員マスタ'!H14))</f>
        <v/>
      </c>
      <c r="P19" s="15" t="n"/>
      <c r="Q19" s="16">
        <f>IF($B19="","",L19+M19+O19+P19)</f>
        <v/>
      </c>
      <c r="R19" s="16">
        <f>IF($B19="","",H19-Q19)</f>
        <v/>
      </c>
      <c r="S19" s="22">
        <f>IF($B19="","",IF(AND($Y19="乙",N19=""),"乙欄: 所得税を手入力してください",IF(AND($Z19="○",$V19=0),"標準報酬月額が未入力です",IF($H19=0,"支給額が未入力です",""))))</f>
        <v/>
      </c>
      <c r="T19" s="43" t="n"/>
      <c r="U19" s="25">
        <f>IF('従業員マスタ'!C14="","",'従業員マスタ'!C14)</f>
        <v/>
      </c>
      <c r="V19" s="16">
        <f>'従業員マスタ'!E14</f>
        <v/>
      </c>
      <c r="W19" s="16">
        <f>'従業員マスタ'!F14</f>
        <v/>
      </c>
      <c r="X19" s="26">
        <f>'従業員マスタ'!G14</f>
        <v/>
      </c>
      <c r="Y19" s="12">
        <f>'従業員マスタ'!K14</f>
        <v/>
      </c>
      <c r="Z19" s="12">
        <f>'従業員マスタ'!I14</f>
        <v/>
      </c>
      <c r="AA19" s="12">
        <f>'従業員マスタ'!J14</f>
        <v/>
      </c>
      <c r="AB19" s="26">
        <f>IF(OR($B19="",NOT(ISNUMBER($U19)),$Z19&lt;&gt;"○"),0,IF(AND($B$4&gt;=DATE(YEAR(EDATE($U19,480)-1),MONTH(EDATE($U19,480)-1),1),$B$4&lt;DATE(YEAR(EDATE($U19,780)-1),MONTH(EDATE($U19,780)-1),1)),1,0))</f>
        <v/>
      </c>
      <c r="AC19" s="16">
        <f>IF($B19="","",C19+D19+E19+MAX(0,F19-G19))</f>
        <v/>
      </c>
      <c r="AD19" s="16">
        <f>IF($B19="","",MAX(0,AC19-L19))</f>
        <v/>
      </c>
      <c r="AE19" s="16">
        <f>IF($B19="","",ROUNDUP(ROUND(AD19*LOOKUP(AD19,'料率・等級表'!$O$6:$O$10,'料率・等級表'!$P$6:$P$10)+LOOKUP(AD19,'料率・等級表'!$O$6:$O$10,'料率・等級表'!$Q$6:$Q$10),4),0))</f>
        <v/>
      </c>
      <c r="AF19" s="16">
        <f>IF($B19="","",LOOKUP(AD19,'料率・等級表'!$O$17:$O$21,'料率・等級表'!$P$17:$P$21))</f>
        <v/>
      </c>
      <c r="AG19" s="16">
        <f>IF($B19="","",MAX(0,AD19-AE19-'料率・等級表'!$P$13*X19-AF19))</f>
        <v/>
      </c>
      <c r="AH19" s="16">
        <f>IF($B19="","",ROUND(ROUND(AG19*LOOKUP(AG19,'料率・等級表'!$O$25:$O$31,'料率・等級表'!$P$25:$P$31),6)-LOOKUP(AG19,'料率・等級表'!$O$25:$O$31,'料率・等級表'!$Q$25:$Q$31),-1))</f>
        <v/>
      </c>
    </row>
    <row r="20">
      <c r="A20" s="47" t="inlineStr">
        <is>
          <t>合計</t>
        </is>
      </c>
      <c r="B20" s="27" t="n"/>
      <c r="C20" s="53">
        <f>SUM(C10:C19)</f>
        <v/>
      </c>
      <c r="D20" s="53">
        <f>SUM(D10:D19)</f>
        <v/>
      </c>
      <c r="E20" s="53">
        <f>SUM(E10:E19)</f>
        <v/>
      </c>
      <c r="F20" s="53">
        <f>SUM(F10:F19)</f>
        <v/>
      </c>
      <c r="G20" s="53">
        <f>SUM(G10:G19)</f>
        <v/>
      </c>
      <c r="H20" s="53">
        <f>SUM(H10:H19)</f>
        <v/>
      </c>
      <c r="I20" s="53">
        <f>SUM(I10:I19)</f>
        <v/>
      </c>
      <c r="J20" s="53">
        <f>SUM(J10:J19)</f>
        <v/>
      </c>
      <c r="K20" s="53">
        <f>SUM(K10:K19)</f>
        <v/>
      </c>
      <c r="L20" s="53">
        <f>SUM(L10:L19)</f>
        <v/>
      </c>
      <c r="M20" s="53">
        <f>SUM(M10:M19)</f>
        <v/>
      </c>
      <c r="N20" s="53">
        <f>SUM(N10:N19)</f>
        <v/>
      </c>
      <c r="O20" s="53">
        <f>SUM(O10:O19)</f>
        <v/>
      </c>
      <c r="P20" s="53">
        <f>SUM(P10:P19)</f>
        <v/>
      </c>
      <c r="Q20" s="53">
        <f>SUM(Q10:Q19)</f>
        <v/>
      </c>
      <c r="R20" s="53">
        <f>SUM(R10:R19)</f>
        <v/>
      </c>
      <c r="S20" s="27" t="n"/>
      <c r="T20" s="43" t="n"/>
      <c r="U20" s="43" t="n"/>
      <c r="V20" s="43" t="n"/>
      <c r="W20" s="43" t="n"/>
      <c r="X20" s="43" t="n"/>
      <c r="Y20" s="43" t="n"/>
      <c r="Z20" s="43" t="n"/>
      <c r="AA20" s="43" t="n"/>
      <c r="AB20" s="43" t="n"/>
      <c r="AC20" s="43" t="n"/>
      <c r="AD20" s="43" t="n"/>
      <c r="AE20" s="43" t="n"/>
      <c r="AF20" s="43" t="n"/>
      <c r="AG20" s="43" t="n"/>
      <c r="AH20" s="43" t="n"/>
    </row>
    <row r="21">
      <c r="A21" s="43" t="n"/>
      <c r="B21" s="43" t="n"/>
      <c r="C21" s="43" t="n"/>
      <c r="D21" s="43" t="n"/>
      <c r="E21" s="43" t="n"/>
      <c r="F21" s="43" t="n"/>
      <c r="G21" s="43" t="n"/>
      <c r="H21" s="43" t="n"/>
      <c r="I21" s="43" t="n"/>
      <c r="J21" s="43" t="n"/>
      <c r="K21" s="43" t="n"/>
      <c r="L21" s="43" t="n"/>
      <c r="M21" s="43" t="n"/>
      <c r="N21" s="43" t="n"/>
      <c r="O21" s="43" t="n"/>
      <c r="P21" s="43" t="n"/>
      <c r="Q21" s="43" t="n"/>
      <c r="R21" s="43" t="n"/>
      <c r="S21" s="43" t="n"/>
      <c r="T21" s="43" t="n"/>
      <c r="U21" s="43" t="n"/>
      <c r="V21" s="43" t="n"/>
      <c r="W21" s="43" t="n"/>
      <c r="X21" s="43" t="n"/>
      <c r="Y21" s="43" t="n"/>
      <c r="Z21" s="43" t="n"/>
      <c r="AA21" s="43" t="n"/>
      <c r="AB21" s="43" t="n"/>
      <c r="AC21" s="43" t="n"/>
      <c r="AD21" s="43" t="n"/>
      <c r="AE21" s="43" t="n"/>
      <c r="AF21" s="43" t="n"/>
      <c r="AG21" s="43" t="n"/>
      <c r="AH21" s="43" t="n"/>
    </row>
    <row r="22" ht="32" customHeight="1">
      <c r="A22" s="44" t="inlineStr">
        <is>
          <t>所得税は国税庁の「電算機計算の特例」の算式で出した額です。税額表（月額表）の額とは、数十円から数百円ずれることがあります。差は年末調整で精算されます。乙欄・賞与は計算しません。</t>
        </is>
      </c>
      <c r="B22" s="43" t="n"/>
      <c r="C22" s="43" t="n"/>
      <c r="D22" s="43" t="n"/>
      <c r="E22" s="43" t="n"/>
      <c r="F22" s="43" t="n"/>
      <c r="G22" s="43" t="n"/>
      <c r="H22" s="43" t="n"/>
      <c r="I22" s="43" t="n"/>
      <c r="J22" s="43" t="n"/>
      <c r="K22" s="43" t="n"/>
      <c r="L22" s="43" t="n"/>
      <c r="M22" s="43" t="n"/>
      <c r="N22" s="43" t="n"/>
      <c r="O22" s="43" t="n"/>
      <c r="P22" s="43" t="n"/>
      <c r="Q22" s="43" t="n"/>
      <c r="R22" s="43" t="n"/>
      <c r="S22" s="43" t="n"/>
      <c r="T22" s="43" t="n"/>
      <c r="U22" s="43" t="n"/>
      <c r="V22" s="43" t="n"/>
      <c r="W22" s="43" t="n"/>
      <c r="X22" s="43" t="n"/>
      <c r="Y22" s="43" t="n"/>
      <c r="Z22" s="43" t="n"/>
      <c r="AA22" s="43" t="n"/>
      <c r="AB22" s="43" t="n"/>
      <c r="AC22" s="43" t="n"/>
      <c r="AD22" s="43" t="n"/>
      <c r="AE22" s="43" t="n"/>
      <c r="AF22" s="43" t="n"/>
      <c r="AG22" s="43" t="n"/>
      <c r="AH22" s="43" t="n"/>
    </row>
    <row r="23" ht="32" customHeight="1">
      <c r="A23" s="44" t="inlineStr">
        <is>
          <t>通勤手当は、電車・バスなら月15万円までが非課税、マイカーは距離別の限度額があります。「うち非課税額」に非課税の範囲の額を入れてください。雇用保険料には通勤手当も含めた総支給額を使います。</t>
        </is>
      </c>
      <c r="B23" s="43" t="n"/>
      <c r="C23" s="43" t="n"/>
      <c r="D23" s="43" t="n"/>
      <c r="E23" s="43" t="n"/>
      <c r="F23" s="43" t="n"/>
      <c r="G23" s="43" t="n"/>
      <c r="H23" s="43" t="n"/>
      <c r="I23" s="43" t="n"/>
      <c r="J23" s="43" t="n"/>
      <c r="K23" s="43" t="n"/>
      <c r="L23" s="43" t="n"/>
      <c r="M23" s="43" t="n"/>
      <c r="N23" s="43" t="n"/>
      <c r="O23" s="43" t="n"/>
      <c r="P23" s="43" t="n"/>
      <c r="Q23" s="43" t="n"/>
      <c r="R23" s="43" t="n"/>
      <c r="S23" s="43" t="n"/>
      <c r="T23" s="43" t="n"/>
      <c r="U23" s="43" t="n"/>
      <c r="V23" s="43" t="n"/>
      <c r="W23" s="43" t="n"/>
      <c r="X23" s="43" t="n"/>
      <c r="Y23" s="43" t="n"/>
      <c r="Z23" s="43" t="n"/>
      <c r="AA23" s="43" t="n"/>
      <c r="AB23" s="43" t="n"/>
      <c r="AC23" s="43" t="n"/>
      <c r="AD23" s="43" t="n"/>
      <c r="AE23" s="43" t="n"/>
      <c r="AF23" s="43" t="n"/>
      <c r="AG23" s="43" t="n"/>
      <c r="AH23" s="43" t="n"/>
    </row>
  </sheetData>
  <mergeCells count="9">
    <mergeCell ref="B6:S6"/>
    <mergeCell ref="C3:S3"/>
    <mergeCell ref="A23:S23"/>
    <mergeCell ref="U8:AH8"/>
    <mergeCell ref="B5:S5"/>
    <mergeCell ref="C4:S4"/>
    <mergeCell ref="A1:S1"/>
    <mergeCell ref="A22:S22"/>
    <mergeCell ref="A2:S2"/>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J38"/>
  <sheetViews>
    <sheetView showGridLines="0" workbookViewId="0">
      <pane ySplit="6" topLeftCell="A7" activePane="bottomLeft" state="frozen"/>
      <selection pane="bottomLeft" activeCell="A1" sqref="A1"/>
    </sheetView>
  </sheetViews>
  <sheetFormatPr baseColWidth="8" defaultRowHeight="15"/>
  <cols>
    <col width="14" customWidth="1" min="1" max="1"/>
    <col width="11" customWidth="1" min="2" max="2"/>
    <col width="9" customWidth="1" min="3" max="3"/>
    <col width="14" customWidth="1" min="4" max="4"/>
    <col width="14" customWidth="1" min="5" max="5"/>
    <col width="12" customWidth="1" min="6" max="6"/>
    <col width="12" customWidth="1" min="7" max="7"/>
    <col width="12" customWidth="1" min="8" max="8"/>
    <col width="14" customWidth="1" min="9" max="9"/>
    <col width="14" customWidth="1" min="10" max="10"/>
  </cols>
  <sheetData>
    <row r="1">
      <c r="A1" s="42" t="inlineStr">
        <is>
          <t>給与台帳（月別・年間累計）</t>
        </is>
      </c>
      <c r="B1" s="43" t="n"/>
      <c r="C1" s="43" t="n"/>
      <c r="D1" s="43" t="n"/>
      <c r="E1" s="43" t="n"/>
      <c r="F1" s="43" t="n"/>
      <c r="G1" s="43" t="n"/>
      <c r="H1" s="43" t="n"/>
      <c r="I1" s="43" t="n"/>
      <c r="J1" s="43" t="n"/>
    </row>
    <row r="2" ht="30" customHeight="1">
      <c r="A2" s="44" t="inlineStr">
        <is>
          <t>月ごとにコピーして名前を「2026-10」のように変えた月次計算シートを、自動で拾って並べます。シートがない月は「未作成」と出て空欄のままです。</t>
        </is>
      </c>
      <c r="B2" s="43" t="n"/>
      <c r="C2" s="43" t="n"/>
      <c r="D2" s="43" t="n"/>
      <c r="E2" s="43" t="n"/>
      <c r="F2" s="43" t="n"/>
      <c r="G2" s="43" t="n"/>
      <c r="H2" s="43" t="n"/>
      <c r="I2" s="43" t="n"/>
      <c r="J2" s="43" t="n"/>
    </row>
    <row r="3">
      <c r="A3" s="45" t="inlineStr">
        <is>
          <t>対象の年</t>
        </is>
      </c>
      <c r="B3" s="54" t="n">
        <v>2026</v>
      </c>
      <c r="C3" s="43" t="n"/>
      <c r="D3" s="43" t="n"/>
      <c r="E3" s="43" t="n"/>
      <c r="F3" s="43" t="n"/>
      <c r="G3" s="43" t="n"/>
      <c r="H3" s="43" t="n"/>
      <c r="I3" s="43" t="n"/>
      <c r="J3" s="43" t="n"/>
    </row>
    <row r="4">
      <c r="A4" s="45" t="inlineStr">
        <is>
          <t>従業員No</t>
        </is>
      </c>
      <c r="B4" s="17" t="n">
        <v>1</v>
      </c>
      <c r="C4" s="52">
        <f>IFERROR(INDEX('従業員マスタ'!$B$5:$B$14,$B$4)&amp;"","")</f>
        <v/>
      </c>
      <c r="D4" s="43" t="n"/>
      <c r="E4" s="43" t="n"/>
      <c r="F4" s="43" t="n"/>
      <c r="G4" s="43" t="n"/>
      <c r="H4" s="43" t="n"/>
      <c r="I4" s="43" t="n"/>
      <c r="J4" s="43" t="n"/>
    </row>
    <row r="5">
      <c r="A5" s="46" t="inlineStr">
        <is>
          <t>選んだ従業員の月別</t>
        </is>
      </c>
      <c r="B5" s="43" t="n"/>
      <c r="C5" s="43" t="n"/>
      <c r="D5" s="43" t="n"/>
      <c r="E5" s="43" t="n"/>
      <c r="F5" s="43" t="n"/>
      <c r="G5" s="43" t="n"/>
      <c r="H5" s="43" t="n"/>
      <c r="I5" s="43" t="n"/>
      <c r="J5" s="43" t="n"/>
    </row>
    <row r="6">
      <c r="A6" s="4" t="inlineStr">
        <is>
          <t>支給年月</t>
        </is>
      </c>
      <c r="B6" s="4" t="inlineStr">
        <is>
          <t>シート名</t>
        </is>
      </c>
      <c r="C6" s="4" t="inlineStr">
        <is>
          <t>状況</t>
        </is>
      </c>
      <c r="D6" s="4" t="inlineStr">
        <is>
          <t>総支給額</t>
        </is>
      </c>
      <c r="E6" s="4" t="inlineStr">
        <is>
          <t>社会保険料</t>
        </is>
      </c>
      <c r="F6" s="4" t="inlineStr">
        <is>
          <t>所得税</t>
        </is>
      </c>
      <c r="G6" s="4" t="inlineStr">
        <is>
          <t>住民税</t>
        </is>
      </c>
      <c r="H6" s="4" t="inlineStr">
        <is>
          <t>その他控除</t>
        </is>
      </c>
      <c r="I6" s="4" t="inlineStr">
        <is>
          <t>控除合計</t>
        </is>
      </c>
      <c r="J6" s="4" t="inlineStr">
        <is>
          <t>差引支給額</t>
        </is>
      </c>
    </row>
    <row r="7">
      <c r="A7" s="55">
        <f>DATE($B$3,1,1)</f>
        <v/>
      </c>
      <c r="B7" s="12">
        <f>TEXT(A7,"yyyy-mm")</f>
        <v/>
      </c>
      <c r="C7" s="12">
        <f>IF(ISERROR(INDIRECT("'"&amp;B7&amp;"'!A1")),"未作成","○")</f>
        <v/>
      </c>
      <c r="D7" s="16">
        <f>IF($C7="○",INDIRECT("'"&amp;$B7&amp;"'!H"&amp;(9+$B$4)),"")</f>
        <v/>
      </c>
      <c r="E7" s="16">
        <f>IF($C7="○",INDIRECT("'"&amp;$B7&amp;"'!L"&amp;(9+$B$4)),"")</f>
        <v/>
      </c>
      <c r="F7" s="16">
        <f>IF($C7="○",INDIRECT("'"&amp;$B7&amp;"'!M"&amp;(9+$B$4)),"")</f>
        <v/>
      </c>
      <c r="G7" s="16">
        <f>IF($C7="○",INDIRECT("'"&amp;$B7&amp;"'!O"&amp;(9+$B$4)),"")</f>
        <v/>
      </c>
      <c r="H7" s="16">
        <f>IF($C7="○",INDIRECT("'"&amp;$B7&amp;"'!P"&amp;(9+$B$4)),"")</f>
        <v/>
      </c>
      <c r="I7" s="16">
        <f>IF($C7="○",INDIRECT("'"&amp;$B7&amp;"'!Q"&amp;(9+$B$4)),"")</f>
        <v/>
      </c>
      <c r="J7" s="16">
        <f>IF($C7="○",INDIRECT("'"&amp;$B7&amp;"'!R"&amp;(9+$B$4)),"")</f>
        <v/>
      </c>
    </row>
    <row r="8">
      <c r="A8" s="55">
        <f>DATE($B$3,2,1)</f>
        <v/>
      </c>
      <c r="B8" s="12">
        <f>TEXT(A8,"yyyy-mm")</f>
        <v/>
      </c>
      <c r="C8" s="12">
        <f>IF(ISERROR(INDIRECT("'"&amp;B8&amp;"'!A1")),"未作成","○")</f>
        <v/>
      </c>
      <c r="D8" s="16">
        <f>IF($C8="○",INDIRECT("'"&amp;$B8&amp;"'!H"&amp;(9+$B$4)),"")</f>
        <v/>
      </c>
      <c r="E8" s="16">
        <f>IF($C8="○",INDIRECT("'"&amp;$B8&amp;"'!L"&amp;(9+$B$4)),"")</f>
        <v/>
      </c>
      <c r="F8" s="16">
        <f>IF($C8="○",INDIRECT("'"&amp;$B8&amp;"'!M"&amp;(9+$B$4)),"")</f>
        <v/>
      </c>
      <c r="G8" s="16">
        <f>IF($C8="○",INDIRECT("'"&amp;$B8&amp;"'!O"&amp;(9+$B$4)),"")</f>
        <v/>
      </c>
      <c r="H8" s="16">
        <f>IF($C8="○",INDIRECT("'"&amp;$B8&amp;"'!P"&amp;(9+$B$4)),"")</f>
        <v/>
      </c>
      <c r="I8" s="16">
        <f>IF($C8="○",INDIRECT("'"&amp;$B8&amp;"'!Q"&amp;(9+$B$4)),"")</f>
        <v/>
      </c>
      <c r="J8" s="16">
        <f>IF($C8="○",INDIRECT("'"&amp;$B8&amp;"'!R"&amp;(9+$B$4)),"")</f>
        <v/>
      </c>
    </row>
    <row r="9">
      <c r="A9" s="55">
        <f>DATE($B$3,3,1)</f>
        <v/>
      </c>
      <c r="B9" s="12">
        <f>TEXT(A9,"yyyy-mm")</f>
        <v/>
      </c>
      <c r="C9" s="12">
        <f>IF(ISERROR(INDIRECT("'"&amp;B9&amp;"'!A1")),"未作成","○")</f>
        <v/>
      </c>
      <c r="D9" s="16">
        <f>IF($C9="○",INDIRECT("'"&amp;$B9&amp;"'!H"&amp;(9+$B$4)),"")</f>
        <v/>
      </c>
      <c r="E9" s="16">
        <f>IF($C9="○",INDIRECT("'"&amp;$B9&amp;"'!L"&amp;(9+$B$4)),"")</f>
        <v/>
      </c>
      <c r="F9" s="16">
        <f>IF($C9="○",INDIRECT("'"&amp;$B9&amp;"'!M"&amp;(9+$B$4)),"")</f>
        <v/>
      </c>
      <c r="G9" s="16">
        <f>IF($C9="○",INDIRECT("'"&amp;$B9&amp;"'!O"&amp;(9+$B$4)),"")</f>
        <v/>
      </c>
      <c r="H9" s="16">
        <f>IF($C9="○",INDIRECT("'"&amp;$B9&amp;"'!P"&amp;(9+$B$4)),"")</f>
        <v/>
      </c>
      <c r="I9" s="16">
        <f>IF($C9="○",INDIRECT("'"&amp;$B9&amp;"'!Q"&amp;(9+$B$4)),"")</f>
        <v/>
      </c>
      <c r="J9" s="16">
        <f>IF($C9="○",INDIRECT("'"&amp;$B9&amp;"'!R"&amp;(9+$B$4)),"")</f>
        <v/>
      </c>
    </row>
    <row r="10">
      <c r="A10" s="55">
        <f>DATE($B$3,4,1)</f>
        <v/>
      </c>
      <c r="B10" s="12">
        <f>TEXT(A10,"yyyy-mm")</f>
        <v/>
      </c>
      <c r="C10" s="12">
        <f>IF(ISERROR(INDIRECT("'"&amp;B10&amp;"'!A1")),"未作成","○")</f>
        <v/>
      </c>
      <c r="D10" s="16">
        <f>IF($C10="○",INDIRECT("'"&amp;$B10&amp;"'!H"&amp;(9+$B$4)),"")</f>
        <v/>
      </c>
      <c r="E10" s="16">
        <f>IF($C10="○",INDIRECT("'"&amp;$B10&amp;"'!L"&amp;(9+$B$4)),"")</f>
        <v/>
      </c>
      <c r="F10" s="16">
        <f>IF($C10="○",INDIRECT("'"&amp;$B10&amp;"'!M"&amp;(9+$B$4)),"")</f>
        <v/>
      </c>
      <c r="G10" s="16">
        <f>IF($C10="○",INDIRECT("'"&amp;$B10&amp;"'!O"&amp;(9+$B$4)),"")</f>
        <v/>
      </c>
      <c r="H10" s="16">
        <f>IF($C10="○",INDIRECT("'"&amp;$B10&amp;"'!P"&amp;(9+$B$4)),"")</f>
        <v/>
      </c>
      <c r="I10" s="16">
        <f>IF($C10="○",INDIRECT("'"&amp;$B10&amp;"'!Q"&amp;(9+$B$4)),"")</f>
        <v/>
      </c>
      <c r="J10" s="16">
        <f>IF($C10="○",INDIRECT("'"&amp;$B10&amp;"'!R"&amp;(9+$B$4)),"")</f>
        <v/>
      </c>
    </row>
    <row r="11">
      <c r="A11" s="55">
        <f>DATE($B$3,5,1)</f>
        <v/>
      </c>
      <c r="B11" s="12">
        <f>TEXT(A11,"yyyy-mm")</f>
        <v/>
      </c>
      <c r="C11" s="12">
        <f>IF(ISERROR(INDIRECT("'"&amp;B11&amp;"'!A1")),"未作成","○")</f>
        <v/>
      </c>
      <c r="D11" s="16">
        <f>IF($C11="○",INDIRECT("'"&amp;$B11&amp;"'!H"&amp;(9+$B$4)),"")</f>
        <v/>
      </c>
      <c r="E11" s="16">
        <f>IF($C11="○",INDIRECT("'"&amp;$B11&amp;"'!L"&amp;(9+$B$4)),"")</f>
        <v/>
      </c>
      <c r="F11" s="16">
        <f>IF($C11="○",INDIRECT("'"&amp;$B11&amp;"'!M"&amp;(9+$B$4)),"")</f>
        <v/>
      </c>
      <c r="G11" s="16">
        <f>IF($C11="○",INDIRECT("'"&amp;$B11&amp;"'!O"&amp;(9+$B$4)),"")</f>
        <v/>
      </c>
      <c r="H11" s="16">
        <f>IF($C11="○",INDIRECT("'"&amp;$B11&amp;"'!P"&amp;(9+$B$4)),"")</f>
        <v/>
      </c>
      <c r="I11" s="16">
        <f>IF($C11="○",INDIRECT("'"&amp;$B11&amp;"'!Q"&amp;(9+$B$4)),"")</f>
        <v/>
      </c>
      <c r="J11" s="16">
        <f>IF($C11="○",INDIRECT("'"&amp;$B11&amp;"'!R"&amp;(9+$B$4)),"")</f>
        <v/>
      </c>
    </row>
    <row r="12">
      <c r="A12" s="55">
        <f>DATE($B$3,6,1)</f>
        <v/>
      </c>
      <c r="B12" s="12">
        <f>TEXT(A12,"yyyy-mm")</f>
        <v/>
      </c>
      <c r="C12" s="12">
        <f>IF(ISERROR(INDIRECT("'"&amp;B12&amp;"'!A1")),"未作成","○")</f>
        <v/>
      </c>
      <c r="D12" s="16">
        <f>IF($C12="○",INDIRECT("'"&amp;$B12&amp;"'!H"&amp;(9+$B$4)),"")</f>
        <v/>
      </c>
      <c r="E12" s="16">
        <f>IF($C12="○",INDIRECT("'"&amp;$B12&amp;"'!L"&amp;(9+$B$4)),"")</f>
        <v/>
      </c>
      <c r="F12" s="16">
        <f>IF($C12="○",INDIRECT("'"&amp;$B12&amp;"'!M"&amp;(9+$B$4)),"")</f>
        <v/>
      </c>
      <c r="G12" s="16">
        <f>IF($C12="○",INDIRECT("'"&amp;$B12&amp;"'!O"&amp;(9+$B$4)),"")</f>
        <v/>
      </c>
      <c r="H12" s="16">
        <f>IF($C12="○",INDIRECT("'"&amp;$B12&amp;"'!P"&amp;(9+$B$4)),"")</f>
        <v/>
      </c>
      <c r="I12" s="16">
        <f>IF($C12="○",INDIRECT("'"&amp;$B12&amp;"'!Q"&amp;(9+$B$4)),"")</f>
        <v/>
      </c>
      <c r="J12" s="16">
        <f>IF($C12="○",INDIRECT("'"&amp;$B12&amp;"'!R"&amp;(9+$B$4)),"")</f>
        <v/>
      </c>
    </row>
    <row r="13">
      <c r="A13" s="55">
        <f>DATE($B$3,7,1)</f>
        <v/>
      </c>
      <c r="B13" s="12">
        <f>TEXT(A13,"yyyy-mm")</f>
        <v/>
      </c>
      <c r="C13" s="12">
        <f>IF(ISERROR(INDIRECT("'"&amp;B13&amp;"'!A1")),"未作成","○")</f>
        <v/>
      </c>
      <c r="D13" s="16">
        <f>IF($C13="○",INDIRECT("'"&amp;$B13&amp;"'!H"&amp;(9+$B$4)),"")</f>
        <v/>
      </c>
      <c r="E13" s="16">
        <f>IF($C13="○",INDIRECT("'"&amp;$B13&amp;"'!L"&amp;(9+$B$4)),"")</f>
        <v/>
      </c>
      <c r="F13" s="16">
        <f>IF($C13="○",INDIRECT("'"&amp;$B13&amp;"'!M"&amp;(9+$B$4)),"")</f>
        <v/>
      </c>
      <c r="G13" s="16">
        <f>IF($C13="○",INDIRECT("'"&amp;$B13&amp;"'!O"&amp;(9+$B$4)),"")</f>
        <v/>
      </c>
      <c r="H13" s="16">
        <f>IF($C13="○",INDIRECT("'"&amp;$B13&amp;"'!P"&amp;(9+$B$4)),"")</f>
        <v/>
      </c>
      <c r="I13" s="16">
        <f>IF($C13="○",INDIRECT("'"&amp;$B13&amp;"'!Q"&amp;(9+$B$4)),"")</f>
        <v/>
      </c>
      <c r="J13" s="16">
        <f>IF($C13="○",INDIRECT("'"&amp;$B13&amp;"'!R"&amp;(9+$B$4)),"")</f>
        <v/>
      </c>
    </row>
    <row r="14">
      <c r="A14" s="55">
        <f>DATE($B$3,8,1)</f>
        <v/>
      </c>
      <c r="B14" s="12">
        <f>TEXT(A14,"yyyy-mm")</f>
        <v/>
      </c>
      <c r="C14" s="12">
        <f>IF(ISERROR(INDIRECT("'"&amp;B14&amp;"'!A1")),"未作成","○")</f>
        <v/>
      </c>
      <c r="D14" s="16">
        <f>IF($C14="○",INDIRECT("'"&amp;$B14&amp;"'!H"&amp;(9+$B$4)),"")</f>
        <v/>
      </c>
      <c r="E14" s="16">
        <f>IF($C14="○",INDIRECT("'"&amp;$B14&amp;"'!L"&amp;(9+$B$4)),"")</f>
        <v/>
      </c>
      <c r="F14" s="16">
        <f>IF($C14="○",INDIRECT("'"&amp;$B14&amp;"'!M"&amp;(9+$B$4)),"")</f>
        <v/>
      </c>
      <c r="G14" s="16">
        <f>IF($C14="○",INDIRECT("'"&amp;$B14&amp;"'!O"&amp;(9+$B$4)),"")</f>
        <v/>
      </c>
      <c r="H14" s="16">
        <f>IF($C14="○",INDIRECT("'"&amp;$B14&amp;"'!P"&amp;(9+$B$4)),"")</f>
        <v/>
      </c>
      <c r="I14" s="16">
        <f>IF($C14="○",INDIRECT("'"&amp;$B14&amp;"'!Q"&amp;(9+$B$4)),"")</f>
        <v/>
      </c>
      <c r="J14" s="16">
        <f>IF($C14="○",INDIRECT("'"&amp;$B14&amp;"'!R"&amp;(9+$B$4)),"")</f>
        <v/>
      </c>
    </row>
    <row r="15">
      <c r="A15" s="55">
        <f>DATE($B$3,9,1)</f>
        <v/>
      </c>
      <c r="B15" s="12">
        <f>TEXT(A15,"yyyy-mm")</f>
        <v/>
      </c>
      <c r="C15" s="12">
        <f>IF(ISERROR(INDIRECT("'"&amp;B15&amp;"'!A1")),"未作成","○")</f>
        <v/>
      </c>
      <c r="D15" s="16">
        <f>IF($C15="○",INDIRECT("'"&amp;$B15&amp;"'!H"&amp;(9+$B$4)),"")</f>
        <v/>
      </c>
      <c r="E15" s="16">
        <f>IF($C15="○",INDIRECT("'"&amp;$B15&amp;"'!L"&amp;(9+$B$4)),"")</f>
        <v/>
      </c>
      <c r="F15" s="16">
        <f>IF($C15="○",INDIRECT("'"&amp;$B15&amp;"'!M"&amp;(9+$B$4)),"")</f>
        <v/>
      </c>
      <c r="G15" s="16">
        <f>IF($C15="○",INDIRECT("'"&amp;$B15&amp;"'!O"&amp;(9+$B$4)),"")</f>
        <v/>
      </c>
      <c r="H15" s="16">
        <f>IF($C15="○",INDIRECT("'"&amp;$B15&amp;"'!P"&amp;(9+$B$4)),"")</f>
        <v/>
      </c>
      <c r="I15" s="16">
        <f>IF($C15="○",INDIRECT("'"&amp;$B15&amp;"'!Q"&amp;(9+$B$4)),"")</f>
        <v/>
      </c>
      <c r="J15" s="16">
        <f>IF($C15="○",INDIRECT("'"&amp;$B15&amp;"'!R"&amp;(9+$B$4)),"")</f>
        <v/>
      </c>
    </row>
    <row r="16">
      <c r="A16" s="55">
        <f>DATE($B$3,10,1)</f>
        <v/>
      </c>
      <c r="B16" s="12">
        <f>TEXT(A16,"yyyy-mm")</f>
        <v/>
      </c>
      <c r="C16" s="12">
        <f>IF(ISERROR(INDIRECT("'"&amp;B16&amp;"'!A1")),"未作成","○")</f>
        <v/>
      </c>
      <c r="D16" s="16">
        <f>IF($C16="○",INDIRECT("'"&amp;$B16&amp;"'!H"&amp;(9+$B$4)),"")</f>
        <v/>
      </c>
      <c r="E16" s="16">
        <f>IF($C16="○",INDIRECT("'"&amp;$B16&amp;"'!L"&amp;(9+$B$4)),"")</f>
        <v/>
      </c>
      <c r="F16" s="16">
        <f>IF($C16="○",INDIRECT("'"&amp;$B16&amp;"'!M"&amp;(9+$B$4)),"")</f>
        <v/>
      </c>
      <c r="G16" s="16">
        <f>IF($C16="○",INDIRECT("'"&amp;$B16&amp;"'!O"&amp;(9+$B$4)),"")</f>
        <v/>
      </c>
      <c r="H16" s="16">
        <f>IF($C16="○",INDIRECT("'"&amp;$B16&amp;"'!P"&amp;(9+$B$4)),"")</f>
        <v/>
      </c>
      <c r="I16" s="16">
        <f>IF($C16="○",INDIRECT("'"&amp;$B16&amp;"'!Q"&amp;(9+$B$4)),"")</f>
        <v/>
      </c>
      <c r="J16" s="16">
        <f>IF($C16="○",INDIRECT("'"&amp;$B16&amp;"'!R"&amp;(9+$B$4)),"")</f>
        <v/>
      </c>
    </row>
    <row r="17">
      <c r="A17" s="55">
        <f>DATE($B$3,11,1)</f>
        <v/>
      </c>
      <c r="B17" s="12">
        <f>TEXT(A17,"yyyy-mm")</f>
        <v/>
      </c>
      <c r="C17" s="12">
        <f>IF(ISERROR(INDIRECT("'"&amp;B17&amp;"'!A1")),"未作成","○")</f>
        <v/>
      </c>
      <c r="D17" s="16">
        <f>IF($C17="○",INDIRECT("'"&amp;$B17&amp;"'!H"&amp;(9+$B$4)),"")</f>
        <v/>
      </c>
      <c r="E17" s="16">
        <f>IF($C17="○",INDIRECT("'"&amp;$B17&amp;"'!L"&amp;(9+$B$4)),"")</f>
        <v/>
      </c>
      <c r="F17" s="16">
        <f>IF($C17="○",INDIRECT("'"&amp;$B17&amp;"'!M"&amp;(9+$B$4)),"")</f>
        <v/>
      </c>
      <c r="G17" s="16">
        <f>IF($C17="○",INDIRECT("'"&amp;$B17&amp;"'!O"&amp;(9+$B$4)),"")</f>
        <v/>
      </c>
      <c r="H17" s="16">
        <f>IF($C17="○",INDIRECT("'"&amp;$B17&amp;"'!P"&amp;(9+$B$4)),"")</f>
        <v/>
      </c>
      <c r="I17" s="16">
        <f>IF($C17="○",INDIRECT("'"&amp;$B17&amp;"'!Q"&amp;(9+$B$4)),"")</f>
        <v/>
      </c>
      <c r="J17" s="16">
        <f>IF($C17="○",INDIRECT("'"&amp;$B17&amp;"'!R"&amp;(9+$B$4)),"")</f>
        <v/>
      </c>
    </row>
    <row r="18">
      <c r="A18" s="55">
        <f>DATE($B$3,12,1)</f>
        <v/>
      </c>
      <c r="B18" s="12">
        <f>TEXT(A18,"yyyy-mm")</f>
        <v/>
      </c>
      <c r="C18" s="12">
        <f>IF(ISERROR(INDIRECT("'"&amp;B18&amp;"'!A1")),"未作成","○")</f>
        <v/>
      </c>
      <c r="D18" s="16">
        <f>IF($C18="○",INDIRECT("'"&amp;$B18&amp;"'!H"&amp;(9+$B$4)),"")</f>
        <v/>
      </c>
      <c r="E18" s="16">
        <f>IF($C18="○",INDIRECT("'"&amp;$B18&amp;"'!L"&amp;(9+$B$4)),"")</f>
        <v/>
      </c>
      <c r="F18" s="16">
        <f>IF($C18="○",INDIRECT("'"&amp;$B18&amp;"'!M"&amp;(9+$B$4)),"")</f>
        <v/>
      </c>
      <c r="G18" s="16">
        <f>IF($C18="○",INDIRECT("'"&amp;$B18&amp;"'!O"&amp;(9+$B$4)),"")</f>
        <v/>
      </c>
      <c r="H18" s="16">
        <f>IF($C18="○",INDIRECT("'"&amp;$B18&amp;"'!P"&amp;(9+$B$4)),"")</f>
        <v/>
      </c>
      <c r="I18" s="16">
        <f>IF($C18="○",INDIRECT("'"&amp;$B18&amp;"'!Q"&amp;(9+$B$4)),"")</f>
        <v/>
      </c>
      <c r="J18" s="16">
        <f>IF($C18="○",INDIRECT("'"&amp;$B18&amp;"'!R"&amp;(9+$B$4)),"")</f>
        <v/>
      </c>
    </row>
    <row r="19">
      <c r="A19" s="47" t="inlineStr">
        <is>
          <t>年間累計</t>
        </is>
      </c>
      <c r="B19" s="27" t="n"/>
      <c r="C19" s="27" t="n"/>
      <c r="D19" s="53">
        <f>SUM(D7:D18)</f>
        <v/>
      </c>
      <c r="E19" s="53">
        <f>SUM(E7:E18)</f>
        <v/>
      </c>
      <c r="F19" s="53">
        <f>SUM(F7:F18)</f>
        <v/>
      </c>
      <c r="G19" s="53">
        <f>SUM(G7:G18)</f>
        <v/>
      </c>
      <c r="H19" s="53">
        <f>SUM(H7:H18)</f>
        <v/>
      </c>
      <c r="I19" s="53">
        <f>SUM(I7:I18)</f>
        <v/>
      </c>
      <c r="J19" s="53">
        <f>SUM(J7:J18)</f>
        <v/>
      </c>
    </row>
    <row r="20">
      <c r="A20" s="43" t="n"/>
      <c r="B20" s="43" t="n"/>
      <c r="C20" s="43" t="n"/>
      <c r="D20" s="43" t="n"/>
      <c r="E20" s="43" t="n"/>
      <c r="F20" s="43" t="n"/>
      <c r="G20" s="43" t="n"/>
      <c r="H20" s="43" t="n"/>
      <c r="I20" s="43" t="n"/>
      <c r="J20" s="43" t="n"/>
    </row>
    <row r="21">
      <c r="A21" s="43" t="n"/>
      <c r="B21" s="43" t="n"/>
      <c r="C21" s="43" t="n"/>
      <c r="D21" s="43" t="n"/>
      <c r="E21" s="43" t="n"/>
      <c r="F21" s="43" t="n"/>
      <c r="G21" s="43" t="n"/>
      <c r="H21" s="43" t="n"/>
      <c r="I21" s="43" t="n"/>
      <c r="J21" s="43" t="n"/>
    </row>
    <row r="22">
      <c r="A22" s="46" t="inlineStr">
        <is>
          <t>全員の合計（月別）</t>
        </is>
      </c>
      <c r="B22" s="43" t="n"/>
      <c r="C22" s="43" t="n"/>
      <c r="D22" s="43" t="n"/>
      <c r="E22" s="43" t="n"/>
      <c r="F22" s="43" t="n"/>
      <c r="G22" s="43" t="n"/>
      <c r="H22" s="43" t="n"/>
      <c r="I22" s="43" t="n"/>
      <c r="J22" s="43" t="n"/>
    </row>
    <row r="23">
      <c r="A23" s="4" t="inlineStr">
        <is>
          <t>支給年月</t>
        </is>
      </c>
      <c r="B23" s="4" t="inlineStr">
        <is>
          <t>シート名</t>
        </is>
      </c>
      <c r="C23" s="4" t="inlineStr">
        <is>
          <t>状況</t>
        </is>
      </c>
      <c r="D23" s="4" t="inlineStr">
        <is>
          <t>総支給額</t>
        </is>
      </c>
      <c r="E23" s="4" t="inlineStr">
        <is>
          <t>社会保険料</t>
        </is>
      </c>
      <c r="F23" s="4" t="inlineStr">
        <is>
          <t>所得税</t>
        </is>
      </c>
      <c r="G23" s="4" t="inlineStr">
        <is>
          <t>住民税</t>
        </is>
      </c>
      <c r="H23" s="4" t="inlineStr">
        <is>
          <t>その他控除</t>
        </is>
      </c>
      <c r="I23" s="4" t="inlineStr">
        <is>
          <t>控除合計</t>
        </is>
      </c>
      <c r="J23" s="4" t="inlineStr">
        <is>
          <t>差引支給額</t>
        </is>
      </c>
    </row>
    <row r="24">
      <c r="A24" s="55">
        <f>A7</f>
        <v/>
      </c>
      <c r="B24" s="12">
        <f>B7</f>
        <v/>
      </c>
      <c r="C24" s="12">
        <f>C7</f>
        <v/>
      </c>
      <c r="D24" s="16">
        <f>IF($C24="○",INDIRECT("'"&amp;$B24&amp;"'!H20"),"")</f>
        <v/>
      </c>
      <c r="E24" s="16">
        <f>IF($C24="○",INDIRECT("'"&amp;$B24&amp;"'!L20"),"")</f>
        <v/>
      </c>
      <c r="F24" s="16">
        <f>IF($C24="○",INDIRECT("'"&amp;$B24&amp;"'!M20"),"")</f>
        <v/>
      </c>
      <c r="G24" s="16">
        <f>IF($C24="○",INDIRECT("'"&amp;$B24&amp;"'!O20"),"")</f>
        <v/>
      </c>
      <c r="H24" s="16">
        <f>IF($C24="○",INDIRECT("'"&amp;$B24&amp;"'!P20"),"")</f>
        <v/>
      </c>
      <c r="I24" s="16">
        <f>IF($C24="○",INDIRECT("'"&amp;$B24&amp;"'!Q20"),"")</f>
        <v/>
      </c>
      <c r="J24" s="16">
        <f>IF($C24="○",INDIRECT("'"&amp;$B24&amp;"'!R20"),"")</f>
        <v/>
      </c>
    </row>
    <row r="25">
      <c r="A25" s="55">
        <f>A8</f>
        <v/>
      </c>
      <c r="B25" s="12">
        <f>B8</f>
        <v/>
      </c>
      <c r="C25" s="12">
        <f>C8</f>
        <v/>
      </c>
      <c r="D25" s="16">
        <f>IF($C25="○",INDIRECT("'"&amp;$B25&amp;"'!H20"),"")</f>
        <v/>
      </c>
      <c r="E25" s="16">
        <f>IF($C25="○",INDIRECT("'"&amp;$B25&amp;"'!L20"),"")</f>
        <v/>
      </c>
      <c r="F25" s="16">
        <f>IF($C25="○",INDIRECT("'"&amp;$B25&amp;"'!M20"),"")</f>
        <v/>
      </c>
      <c r="G25" s="16">
        <f>IF($C25="○",INDIRECT("'"&amp;$B25&amp;"'!O20"),"")</f>
        <v/>
      </c>
      <c r="H25" s="16">
        <f>IF($C25="○",INDIRECT("'"&amp;$B25&amp;"'!P20"),"")</f>
        <v/>
      </c>
      <c r="I25" s="16">
        <f>IF($C25="○",INDIRECT("'"&amp;$B25&amp;"'!Q20"),"")</f>
        <v/>
      </c>
      <c r="J25" s="16">
        <f>IF($C25="○",INDIRECT("'"&amp;$B25&amp;"'!R20"),"")</f>
        <v/>
      </c>
    </row>
    <row r="26">
      <c r="A26" s="55">
        <f>A9</f>
        <v/>
      </c>
      <c r="B26" s="12">
        <f>B9</f>
        <v/>
      </c>
      <c r="C26" s="12">
        <f>C9</f>
        <v/>
      </c>
      <c r="D26" s="16">
        <f>IF($C26="○",INDIRECT("'"&amp;$B26&amp;"'!H20"),"")</f>
        <v/>
      </c>
      <c r="E26" s="16">
        <f>IF($C26="○",INDIRECT("'"&amp;$B26&amp;"'!L20"),"")</f>
        <v/>
      </c>
      <c r="F26" s="16">
        <f>IF($C26="○",INDIRECT("'"&amp;$B26&amp;"'!M20"),"")</f>
        <v/>
      </c>
      <c r="G26" s="16">
        <f>IF($C26="○",INDIRECT("'"&amp;$B26&amp;"'!O20"),"")</f>
        <v/>
      </c>
      <c r="H26" s="16">
        <f>IF($C26="○",INDIRECT("'"&amp;$B26&amp;"'!P20"),"")</f>
        <v/>
      </c>
      <c r="I26" s="16">
        <f>IF($C26="○",INDIRECT("'"&amp;$B26&amp;"'!Q20"),"")</f>
        <v/>
      </c>
      <c r="J26" s="16">
        <f>IF($C26="○",INDIRECT("'"&amp;$B26&amp;"'!R20"),"")</f>
        <v/>
      </c>
    </row>
    <row r="27">
      <c r="A27" s="55">
        <f>A10</f>
        <v/>
      </c>
      <c r="B27" s="12">
        <f>B10</f>
        <v/>
      </c>
      <c r="C27" s="12">
        <f>C10</f>
        <v/>
      </c>
      <c r="D27" s="16">
        <f>IF($C27="○",INDIRECT("'"&amp;$B27&amp;"'!H20"),"")</f>
        <v/>
      </c>
      <c r="E27" s="16">
        <f>IF($C27="○",INDIRECT("'"&amp;$B27&amp;"'!L20"),"")</f>
        <v/>
      </c>
      <c r="F27" s="16">
        <f>IF($C27="○",INDIRECT("'"&amp;$B27&amp;"'!M20"),"")</f>
        <v/>
      </c>
      <c r="G27" s="16">
        <f>IF($C27="○",INDIRECT("'"&amp;$B27&amp;"'!O20"),"")</f>
        <v/>
      </c>
      <c r="H27" s="16">
        <f>IF($C27="○",INDIRECT("'"&amp;$B27&amp;"'!P20"),"")</f>
        <v/>
      </c>
      <c r="I27" s="16">
        <f>IF($C27="○",INDIRECT("'"&amp;$B27&amp;"'!Q20"),"")</f>
        <v/>
      </c>
      <c r="J27" s="16">
        <f>IF($C27="○",INDIRECT("'"&amp;$B27&amp;"'!R20"),"")</f>
        <v/>
      </c>
    </row>
    <row r="28">
      <c r="A28" s="55">
        <f>A11</f>
        <v/>
      </c>
      <c r="B28" s="12">
        <f>B11</f>
        <v/>
      </c>
      <c r="C28" s="12">
        <f>C11</f>
        <v/>
      </c>
      <c r="D28" s="16">
        <f>IF($C28="○",INDIRECT("'"&amp;$B28&amp;"'!H20"),"")</f>
        <v/>
      </c>
      <c r="E28" s="16">
        <f>IF($C28="○",INDIRECT("'"&amp;$B28&amp;"'!L20"),"")</f>
        <v/>
      </c>
      <c r="F28" s="16">
        <f>IF($C28="○",INDIRECT("'"&amp;$B28&amp;"'!M20"),"")</f>
        <v/>
      </c>
      <c r="G28" s="16">
        <f>IF($C28="○",INDIRECT("'"&amp;$B28&amp;"'!O20"),"")</f>
        <v/>
      </c>
      <c r="H28" s="16">
        <f>IF($C28="○",INDIRECT("'"&amp;$B28&amp;"'!P20"),"")</f>
        <v/>
      </c>
      <c r="I28" s="16">
        <f>IF($C28="○",INDIRECT("'"&amp;$B28&amp;"'!Q20"),"")</f>
        <v/>
      </c>
      <c r="J28" s="16">
        <f>IF($C28="○",INDIRECT("'"&amp;$B28&amp;"'!R20"),"")</f>
        <v/>
      </c>
    </row>
    <row r="29">
      <c r="A29" s="55">
        <f>A12</f>
        <v/>
      </c>
      <c r="B29" s="12">
        <f>B12</f>
        <v/>
      </c>
      <c r="C29" s="12">
        <f>C12</f>
        <v/>
      </c>
      <c r="D29" s="16">
        <f>IF($C29="○",INDIRECT("'"&amp;$B29&amp;"'!H20"),"")</f>
        <v/>
      </c>
      <c r="E29" s="16">
        <f>IF($C29="○",INDIRECT("'"&amp;$B29&amp;"'!L20"),"")</f>
        <v/>
      </c>
      <c r="F29" s="16">
        <f>IF($C29="○",INDIRECT("'"&amp;$B29&amp;"'!M20"),"")</f>
        <v/>
      </c>
      <c r="G29" s="16">
        <f>IF($C29="○",INDIRECT("'"&amp;$B29&amp;"'!O20"),"")</f>
        <v/>
      </c>
      <c r="H29" s="16">
        <f>IF($C29="○",INDIRECT("'"&amp;$B29&amp;"'!P20"),"")</f>
        <v/>
      </c>
      <c r="I29" s="16">
        <f>IF($C29="○",INDIRECT("'"&amp;$B29&amp;"'!Q20"),"")</f>
        <v/>
      </c>
      <c r="J29" s="16">
        <f>IF($C29="○",INDIRECT("'"&amp;$B29&amp;"'!R20"),"")</f>
        <v/>
      </c>
    </row>
    <row r="30">
      <c r="A30" s="55">
        <f>A13</f>
        <v/>
      </c>
      <c r="B30" s="12">
        <f>B13</f>
        <v/>
      </c>
      <c r="C30" s="12">
        <f>C13</f>
        <v/>
      </c>
      <c r="D30" s="16">
        <f>IF($C30="○",INDIRECT("'"&amp;$B30&amp;"'!H20"),"")</f>
        <v/>
      </c>
      <c r="E30" s="16">
        <f>IF($C30="○",INDIRECT("'"&amp;$B30&amp;"'!L20"),"")</f>
        <v/>
      </c>
      <c r="F30" s="16">
        <f>IF($C30="○",INDIRECT("'"&amp;$B30&amp;"'!M20"),"")</f>
        <v/>
      </c>
      <c r="G30" s="16">
        <f>IF($C30="○",INDIRECT("'"&amp;$B30&amp;"'!O20"),"")</f>
        <v/>
      </c>
      <c r="H30" s="16">
        <f>IF($C30="○",INDIRECT("'"&amp;$B30&amp;"'!P20"),"")</f>
        <v/>
      </c>
      <c r="I30" s="16">
        <f>IF($C30="○",INDIRECT("'"&amp;$B30&amp;"'!Q20"),"")</f>
        <v/>
      </c>
      <c r="J30" s="16">
        <f>IF($C30="○",INDIRECT("'"&amp;$B30&amp;"'!R20"),"")</f>
        <v/>
      </c>
    </row>
    <row r="31">
      <c r="A31" s="55">
        <f>A14</f>
        <v/>
      </c>
      <c r="B31" s="12">
        <f>B14</f>
        <v/>
      </c>
      <c r="C31" s="12">
        <f>C14</f>
        <v/>
      </c>
      <c r="D31" s="16">
        <f>IF($C31="○",INDIRECT("'"&amp;$B31&amp;"'!H20"),"")</f>
        <v/>
      </c>
      <c r="E31" s="16">
        <f>IF($C31="○",INDIRECT("'"&amp;$B31&amp;"'!L20"),"")</f>
        <v/>
      </c>
      <c r="F31" s="16">
        <f>IF($C31="○",INDIRECT("'"&amp;$B31&amp;"'!M20"),"")</f>
        <v/>
      </c>
      <c r="G31" s="16">
        <f>IF($C31="○",INDIRECT("'"&amp;$B31&amp;"'!O20"),"")</f>
        <v/>
      </c>
      <c r="H31" s="16">
        <f>IF($C31="○",INDIRECT("'"&amp;$B31&amp;"'!P20"),"")</f>
        <v/>
      </c>
      <c r="I31" s="16">
        <f>IF($C31="○",INDIRECT("'"&amp;$B31&amp;"'!Q20"),"")</f>
        <v/>
      </c>
      <c r="J31" s="16">
        <f>IF($C31="○",INDIRECT("'"&amp;$B31&amp;"'!R20"),"")</f>
        <v/>
      </c>
    </row>
    <row r="32">
      <c r="A32" s="55">
        <f>A15</f>
        <v/>
      </c>
      <c r="B32" s="12">
        <f>B15</f>
        <v/>
      </c>
      <c r="C32" s="12">
        <f>C15</f>
        <v/>
      </c>
      <c r="D32" s="16">
        <f>IF($C32="○",INDIRECT("'"&amp;$B32&amp;"'!H20"),"")</f>
        <v/>
      </c>
      <c r="E32" s="16">
        <f>IF($C32="○",INDIRECT("'"&amp;$B32&amp;"'!L20"),"")</f>
        <v/>
      </c>
      <c r="F32" s="16">
        <f>IF($C32="○",INDIRECT("'"&amp;$B32&amp;"'!M20"),"")</f>
        <v/>
      </c>
      <c r="G32" s="16">
        <f>IF($C32="○",INDIRECT("'"&amp;$B32&amp;"'!O20"),"")</f>
        <v/>
      </c>
      <c r="H32" s="16">
        <f>IF($C32="○",INDIRECT("'"&amp;$B32&amp;"'!P20"),"")</f>
        <v/>
      </c>
      <c r="I32" s="16">
        <f>IF($C32="○",INDIRECT("'"&amp;$B32&amp;"'!Q20"),"")</f>
        <v/>
      </c>
      <c r="J32" s="16">
        <f>IF($C32="○",INDIRECT("'"&amp;$B32&amp;"'!R20"),"")</f>
        <v/>
      </c>
    </row>
    <row r="33">
      <c r="A33" s="55">
        <f>A16</f>
        <v/>
      </c>
      <c r="B33" s="12">
        <f>B16</f>
        <v/>
      </c>
      <c r="C33" s="12">
        <f>C16</f>
        <v/>
      </c>
      <c r="D33" s="16">
        <f>IF($C33="○",INDIRECT("'"&amp;$B33&amp;"'!H20"),"")</f>
        <v/>
      </c>
      <c r="E33" s="16">
        <f>IF($C33="○",INDIRECT("'"&amp;$B33&amp;"'!L20"),"")</f>
        <v/>
      </c>
      <c r="F33" s="16">
        <f>IF($C33="○",INDIRECT("'"&amp;$B33&amp;"'!M20"),"")</f>
        <v/>
      </c>
      <c r="G33" s="16">
        <f>IF($C33="○",INDIRECT("'"&amp;$B33&amp;"'!O20"),"")</f>
        <v/>
      </c>
      <c r="H33" s="16">
        <f>IF($C33="○",INDIRECT("'"&amp;$B33&amp;"'!P20"),"")</f>
        <v/>
      </c>
      <c r="I33" s="16">
        <f>IF($C33="○",INDIRECT("'"&amp;$B33&amp;"'!Q20"),"")</f>
        <v/>
      </c>
      <c r="J33" s="16">
        <f>IF($C33="○",INDIRECT("'"&amp;$B33&amp;"'!R20"),"")</f>
        <v/>
      </c>
    </row>
    <row r="34">
      <c r="A34" s="55">
        <f>A17</f>
        <v/>
      </c>
      <c r="B34" s="12">
        <f>B17</f>
        <v/>
      </c>
      <c r="C34" s="12">
        <f>C17</f>
        <v/>
      </c>
      <c r="D34" s="16">
        <f>IF($C34="○",INDIRECT("'"&amp;$B34&amp;"'!H20"),"")</f>
        <v/>
      </c>
      <c r="E34" s="16">
        <f>IF($C34="○",INDIRECT("'"&amp;$B34&amp;"'!L20"),"")</f>
        <v/>
      </c>
      <c r="F34" s="16">
        <f>IF($C34="○",INDIRECT("'"&amp;$B34&amp;"'!M20"),"")</f>
        <v/>
      </c>
      <c r="G34" s="16">
        <f>IF($C34="○",INDIRECT("'"&amp;$B34&amp;"'!O20"),"")</f>
        <v/>
      </c>
      <c r="H34" s="16">
        <f>IF($C34="○",INDIRECT("'"&amp;$B34&amp;"'!P20"),"")</f>
        <v/>
      </c>
      <c r="I34" s="16">
        <f>IF($C34="○",INDIRECT("'"&amp;$B34&amp;"'!Q20"),"")</f>
        <v/>
      </c>
      <c r="J34" s="16">
        <f>IF($C34="○",INDIRECT("'"&amp;$B34&amp;"'!R20"),"")</f>
        <v/>
      </c>
    </row>
    <row r="35">
      <c r="A35" s="55">
        <f>A18</f>
        <v/>
      </c>
      <c r="B35" s="12">
        <f>B18</f>
        <v/>
      </c>
      <c r="C35" s="12">
        <f>C18</f>
        <v/>
      </c>
      <c r="D35" s="16">
        <f>IF($C35="○",INDIRECT("'"&amp;$B35&amp;"'!H20"),"")</f>
        <v/>
      </c>
      <c r="E35" s="16">
        <f>IF($C35="○",INDIRECT("'"&amp;$B35&amp;"'!L20"),"")</f>
        <v/>
      </c>
      <c r="F35" s="16">
        <f>IF($C35="○",INDIRECT("'"&amp;$B35&amp;"'!M20"),"")</f>
        <v/>
      </c>
      <c r="G35" s="16">
        <f>IF($C35="○",INDIRECT("'"&amp;$B35&amp;"'!O20"),"")</f>
        <v/>
      </c>
      <c r="H35" s="16">
        <f>IF($C35="○",INDIRECT("'"&amp;$B35&amp;"'!P20"),"")</f>
        <v/>
      </c>
      <c r="I35" s="16">
        <f>IF($C35="○",INDIRECT("'"&amp;$B35&amp;"'!Q20"),"")</f>
        <v/>
      </c>
      <c r="J35" s="16">
        <f>IF($C35="○",INDIRECT("'"&amp;$B35&amp;"'!R20"),"")</f>
        <v/>
      </c>
    </row>
    <row r="36">
      <c r="A36" s="47" t="inlineStr">
        <is>
          <t>年間累計</t>
        </is>
      </c>
      <c r="B36" s="27" t="n"/>
      <c r="C36" s="27" t="n"/>
      <c r="D36" s="53">
        <f>SUM(D24:D35)</f>
        <v/>
      </c>
      <c r="E36" s="53">
        <f>SUM(E24:E35)</f>
        <v/>
      </c>
      <c r="F36" s="53">
        <f>SUM(F24:F35)</f>
        <v/>
      </c>
      <c r="G36" s="53">
        <f>SUM(G24:G35)</f>
        <v/>
      </c>
      <c r="H36" s="53">
        <f>SUM(H24:H35)</f>
        <v/>
      </c>
      <c r="I36" s="53">
        <f>SUM(I24:I35)</f>
        <v/>
      </c>
      <c r="J36" s="53">
        <f>SUM(J24:J35)</f>
        <v/>
      </c>
    </row>
    <row r="37">
      <c r="A37" s="43" t="n"/>
      <c r="B37" s="43" t="n"/>
      <c r="C37" s="43" t="n"/>
      <c r="D37" s="43" t="n"/>
      <c r="E37" s="43" t="n"/>
      <c r="F37" s="43" t="n"/>
      <c r="G37" s="43" t="n"/>
      <c r="H37" s="43" t="n"/>
      <c r="I37" s="43" t="n"/>
      <c r="J37" s="43" t="n"/>
    </row>
    <row r="38" ht="56" customHeight="1">
      <c r="A38" s="44" t="inlineStr">
        <is>
          <t>この台帳は月次計算シートを読みに行くだけです。確定した月のシートは、シート全体を選んでコピーし「値のみ貼り付け」で固定しておくと、あとから設定や従業員マスタを替えても過去月の額が動きません。賃金台帳（労働基準法第108条）として保存する場合は、労働時間数などの記載事項が別に必要です。</t>
        </is>
      </c>
      <c r="B38" s="43" t="n"/>
      <c r="C38" s="43" t="n"/>
      <c r="D38" s="43" t="n"/>
      <c r="E38" s="43" t="n"/>
      <c r="F38" s="43" t="n"/>
      <c r="G38" s="43" t="n"/>
      <c r="H38" s="43" t="n"/>
      <c r="I38" s="43" t="n"/>
      <c r="J38" s="43" t="n"/>
    </row>
  </sheetData>
  <mergeCells count="5">
    <mergeCell ref="A1:J1"/>
    <mergeCell ref="A5:J5"/>
    <mergeCell ref="A22:J22"/>
    <mergeCell ref="A38:J38"/>
    <mergeCell ref="A2:J2"/>
  </mergeCells>
  <dataValidations count="1">
    <dataValidation sqref="B4" showDropDown="0" showInputMessage="0" showErrorMessage="0" allowBlank="0" type="whole" operator="between">
      <formula1>1</formula1>
      <formula2>10</formula2>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AH29"/>
  <sheetViews>
    <sheetView showGridLines="0" workbookViewId="0">
      <pane xSplit="2" ySplit="9" topLeftCell="C10"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14" customWidth="1" min="2" max="2"/>
    <col width="12" customWidth="1" min="3" max="3"/>
    <col width="11" customWidth="1" min="4" max="4"/>
    <col width="11" customWidth="1" min="5" max="5"/>
    <col width="11" customWidth="1" min="6" max="6"/>
    <col width="10" customWidth="1" min="7" max="7"/>
    <col width="12" customWidth="1" min="8" max="8"/>
    <col width="15" customWidth="1" min="9" max="9"/>
    <col width="12" customWidth="1" min="10" max="10"/>
    <col width="11" customWidth="1" min="11" max="11"/>
    <col width="12" customWidth="1" min="12" max="12"/>
    <col width="11" customWidth="1" min="13" max="13"/>
    <col width="13" customWidth="1" min="14" max="14"/>
    <col width="11" customWidth="1" min="15" max="15"/>
    <col width="11" customWidth="1" min="16" max="16"/>
    <col width="12" customWidth="1" min="17" max="17"/>
    <col width="13" customWidth="1" min="18" max="18"/>
    <col width="26" customWidth="1" min="19" max="19"/>
    <col width="3" customWidth="1" min="20" max="20"/>
    <col width="12" customWidth="1" min="21" max="21"/>
    <col width="13" customWidth="1" min="22" max="22"/>
    <col width="13" customWidth="1" min="23" max="23"/>
    <col width="9" customWidth="1" min="24" max="24"/>
    <col width="8" customWidth="1" min="25" max="25"/>
    <col width="8" customWidth="1" min="26" max="26"/>
    <col width="8" customWidth="1" min="27" max="27"/>
    <col width="10" customWidth="1" min="28" max="28"/>
    <col width="12" customWidth="1" min="29" max="29"/>
    <col width="12" customWidth="1" min="30" max="30"/>
    <col width="11" customWidth="1" min="31" max="31"/>
    <col width="10" customWidth="1" min="32" max="32"/>
    <col width="12" customWidth="1" min="33" max="33"/>
    <col width="11" customWidth="1" min="34" max="34"/>
  </cols>
  <sheetData>
    <row r="1">
      <c r="A1" s="42" t="inlineStr">
        <is>
          <t>記入例（3名・2026年10月支給・東京都・一般の事業）</t>
        </is>
      </c>
      <c r="B1" s="43" t="n"/>
      <c r="C1" s="43" t="n"/>
      <c r="D1" s="43" t="n"/>
      <c r="E1" s="43" t="n"/>
      <c r="F1" s="43" t="n"/>
      <c r="G1" s="43" t="n"/>
      <c r="H1" s="43" t="n"/>
      <c r="I1" s="43" t="n"/>
      <c r="J1" s="43" t="n"/>
      <c r="K1" s="43" t="n"/>
      <c r="L1" s="43" t="n"/>
      <c r="M1" s="43" t="n"/>
      <c r="N1" s="43" t="n"/>
      <c r="O1" s="43" t="n"/>
      <c r="P1" s="43" t="n"/>
      <c r="Q1" s="43" t="n"/>
      <c r="R1" s="43" t="n"/>
      <c r="S1" s="43" t="n"/>
      <c r="T1" s="43" t="n"/>
      <c r="U1" s="43" t="n"/>
      <c r="V1" s="43" t="n"/>
      <c r="W1" s="43" t="n"/>
      <c r="X1" s="43" t="n"/>
      <c r="Y1" s="43" t="n"/>
      <c r="Z1" s="43" t="n"/>
      <c r="AA1" s="43" t="n"/>
      <c r="AB1" s="43" t="n"/>
      <c r="AC1" s="43" t="n"/>
      <c r="AD1" s="43" t="n"/>
      <c r="AE1" s="43" t="n"/>
      <c r="AF1" s="43" t="n"/>
      <c r="AG1" s="43" t="n"/>
      <c r="AH1" s="43" t="n"/>
    </row>
    <row r="2" ht="30" customHeight="1">
      <c r="A2" s="44" t="inlineStr">
        <is>
          <t>架空の従業員3名で、月次計算シートに入れた場合の数字です。前提は下の表（設定シートとは別に固定）。黄色のセルは入力、白いセルは数式で出た値です。</t>
        </is>
      </c>
      <c r="B2" s="43" t="n"/>
      <c r="C2" s="43" t="n"/>
      <c r="D2" s="43" t="n"/>
      <c r="E2" s="43" t="n"/>
      <c r="F2" s="43" t="n"/>
      <c r="G2" s="43" t="n"/>
      <c r="H2" s="43" t="n"/>
      <c r="I2" s="43" t="n"/>
      <c r="J2" s="43" t="n"/>
      <c r="K2" s="43" t="n"/>
      <c r="L2" s="43" t="n"/>
      <c r="M2" s="43" t="n"/>
      <c r="N2" s="43" t="n"/>
      <c r="O2" s="43" t="n"/>
      <c r="P2" s="43" t="n"/>
      <c r="Q2" s="43" t="n"/>
      <c r="R2" s="43" t="n"/>
      <c r="S2" s="43" t="n"/>
      <c r="T2" s="43" t="n"/>
      <c r="U2" s="43" t="n"/>
      <c r="V2" s="43" t="n"/>
      <c r="W2" s="43" t="n"/>
      <c r="X2" s="43" t="n"/>
      <c r="Y2" s="43" t="n"/>
      <c r="Z2" s="43" t="n"/>
      <c r="AA2" s="43" t="n"/>
      <c r="AB2" s="43" t="n"/>
      <c r="AC2" s="43" t="n"/>
      <c r="AD2" s="43" t="n"/>
      <c r="AE2" s="43" t="n"/>
      <c r="AF2" s="43" t="n"/>
      <c r="AG2" s="43" t="n"/>
      <c r="AH2" s="43" t="n"/>
    </row>
    <row r="3">
      <c r="A3" s="47" t="inlineStr">
        <is>
          <t>支給月</t>
        </is>
      </c>
      <c r="B3" s="48" t="n">
        <v>46296</v>
      </c>
      <c r="C3" s="44" t="inlineStr">
        <is>
          <t>← 10月に支払う給与。前月分の社会保険料を控除するので、保険料の対象は9月分。</t>
        </is>
      </c>
      <c r="D3" s="43" t="n"/>
      <c r="E3" s="43" t="n"/>
      <c r="F3" s="43" t="n"/>
      <c r="G3" s="43" t="n"/>
      <c r="H3" s="43" t="n"/>
      <c r="I3" s="43" t="n"/>
      <c r="J3" s="43" t="n"/>
      <c r="K3" s="43" t="n"/>
      <c r="L3" s="43" t="n"/>
      <c r="M3" s="43" t="n"/>
      <c r="N3" s="43" t="n"/>
      <c r="O3" s="43" t="n"/>
      <c r="P3" s="43" t="n"/>
      <c r="Q3" s="43" t="n"/>
      <c r="R3" s="43" t="n"/>
      <c r="S3" s="43" t="n"/>
      <c r="T3" s="43" t="n"/>
      <c r="U3" s="43" t="n"/>
      <c r="V3" s="43" t="n"/>
      <c r="W3" s="43" t="n"/>
      <c r="X3" s="43" t="n"/>
      <c r="Y3" s="43" t="n"/>
      <c r="Z3" s="43" t="n"/>
      <c r="AA3" s="43" t="n"/>
      <c r="AB3" s="43" t="n"/>
      <c r="AC3" s="43" t="n"/>
      <c r="AD3" s="43" t="n"/>
      <c r="AE3" s="43" t="n"/>
      <c r="AF3" s="43" t="n"/>
      <c r="AG3" s="43" t="n"/>
      <c r="AH3" s="43" t="n"/>
    </row>
    <row r="4">
      <c r="A4" s="47" t="inlineStr">
        <is>
          <t>対象月</t>
        </is>
      </c>
      <c r="B4" s="49">
        <f>IF($B$3="","",IF($C$29="当月分を当月の給与から控除",DATE(YEAR($B$3),MONTH($B$3),1),DATE(YEAR($B$3),MONTH($B$3)-1,1)))</f>
        <v/>
      </c>
      <c r="C4" s="44">
        <f>"← 控除する社会保険料の対象月。"&amp;IF($B$3="","",IF($B$4&gt;='料率・等級表'!$M$7,"子ども・子育て支援金は徴収あり（"&amp;TEXT($C$26,"0.00%")&amp;"）","子ども・子育て支援金はこの対象月には徴収なし（2026年4月分から）"))</f>
        <v/>
      </c>
      <c r="D4" s="43" t="n"/>
      <c r="E4" s="43" t="n"/>
      <c r="F4" s="43" t="n"/>
      <c r="G4" s="43" t="n"/>
      <c r="H4" s="43" t="n"/>
      <c r="I4" s="43" t="n"/>
      <c r="J4" s="43" t="n"/>
      <c r="K4" s="43" t="n"/>
      <c r="L4" s="43" t="n"/>
      <c r="M4" s="43" t="n"/>
      <c r="N4" s="43" t="n"/>
      <c r="O4" s="43" t="n"/>
      <c r="P4" s="43" t="n"/>
      <c r="Q4" s="43" t="n"/>
      <c r="R4" s="43" t="n"/>
      <c r="S4" s="43" t="n"/>
      <c r="T4" s="43" t="n"/>
      <c r="U4" s="43" t="n"/>
      <c r="V4" s="43" t="n"/>
      <c r="W4" s="43" t="n"/>
      <c r="X4" s="43" t="n"/>
      <c r="Y4" s="43" t="n"/>
      <c r="Z4" s="43" t="n"/>
      <c r="AA4" s="43" t="n"/>
      <c r="AB4" s="43" t="n"/>
      <c r="AC4" s="43" t="n"/>
      <c r="AD4" s="43" t="n"/>
      <c r="AE4" s="43" t="n"/>
      <c r="AF4" s="43" t="n"/>
      <c r="AG4" s="43" t="n"/>
      <c r="AH4" s="43" t="n"/>
    </row>
    <row r="5">
      <c r="A5" s="47" t="inlineStr">
        <is>
          <t>前提</t>
        </is>
      </c>
      <c r="B5" s="21">
        <f>"東京都／一般の事業／"&amp;$C$29</f>
        <v/>
      </c>
      <c r="C5" s="50" t="n"/>
      <c r="D5" s="50" t="n"/>
      <c r="E5" s="50" t="n"/>
      <c r="F5" s="50" t="n"/>
      <c r="G5" s="50" t="n"/>
      <c r="H5" s="50" t="n"/>
      <c r="I5" s="50" t="n"/>
      <c r="J5" s="50" t="n"/>
      <c r="K5" s="50" t="n"/>
      <c r="L5" s="50" t="n"/>
      <c r="M5" s="50" t="n"/>
      <c r="N5" s="50" t="n"/>
      <c r="O5" s="50" t="n"/>
      <c r="P5" s="50" t="n"/>
      <c r="Q5" s="50" t="n"/>
      <c r="R5" s="50" t="n"/>
      <c r="S5" s="51" t="n"/>
      <c r="T5" s="43" t="n"/>
      <c r="U5" s="43" t="n"/>
      <c r="V5" s="43" t="n"/>
      <c r="W5" s="43" t="n"/>
      <c r="X5" s="43" t="n"/>
      <c r="Y5" s="43" t="n"/>
      <c r="Z5" s="43" t="n"/>
      <c r="AA5" s="43" t="n"/>
      <c r="AB5" s="43" t="n"/>
      <c r="AC5" s="43" t="n"/>
      <c r="AD5" s="43" t="n"/>
      <c r="AE5" s="43" t="n"/>
      <c r="AF5" s="43" t="n"/>
      <c r="AG5" s="43" t="n"/>
      <c r="AH5" s="43" t="n"/>
    </row>
    <row r="6">
      <c r="A6" s="47" t="inlineStr">
        <is>
          <t>確認</t>
        </is>
      </c>
      <c r="B6" s="7" t="inlineStr">
        <is>
          <t>記入例（固定の前提で計算）</t>
        </is>
      </c>
      <c r="C6" s="50" t="n"/>
      <c r="D6" s="50" t="n"/>
      <c r="E6" s="50" t="n"/>
      <c r="F6" s="50" t="n"/>
      <c r="G6" s="50" t="n"/>
      <c r="H6" s="50" t="n"/>
      <c r="I6" s="50" t="n"/>
      <c r="J6" s="50" t="n"/>
      <c r="K6" s="50" t="n"/>
      <c r="L6" s="50" t="n"/>
      <c r="M6" s="50" t="n"/>
      <c r="N6" s="50" t="n"/>
      <c r="O6" s="50" t="n"/>
      <c r="P6" s="50" t="n"/>
      <c r="Q6" s="50" t="n"/>
      <c r="R6" s="50" t="n"/>
      <c r="S6" s="51" t="n"/>
      <c r="T6" s="43" t="n"/>
      <c r="U6" s="43" t="n"/>
      <c r="V6" s="43" t="n"/>
      <c r="W6" s="43" t="n"/>
      <c r="X6" s="43" t="n"/>
      <c r="Y6" s="43" t="n"/>
      <c r="Z6" s="43" t="n"/>
      <c r="AA6" s="43" t="n"/>
      <c r="AB6" s="43" t="n"/>
      <c r="AC6" s="43" t="n"/>
      <c r="AD6" s="43" t="n"/>
      <c r="AE6" s="43" t="n"/>
      <c r="AF6" s="43" t="n"/>
      <c r="AG6" s="43" t="n"/>
      <c r="AH6" s="43" t="n"/>
    </row>
    <row r="7">
      <c r="A7" s="43" t="n"/>
      <c r="B7" s="43" t="n"/>
      <c r="C7" s="43" t="n"/>
      <c r="D7" s="43" t="n"/>
      <c r="E7" s="43" t="n"/>
      <c r="F7" s="43" t="n"/>
      <c r="G7" s="43" t="n"/>
      <c r="H7" s="43" t="n"/>
      <c r="I7" s="43" t="n"/>
      <c r="J7" s="43" t="n"/>
      <c r="K7" s="43" t="n"/>
      <c r="L7" s="43" t="n"/>
      <c r="M7" s="43" t="n"/>
      <c r="N7" s="43" t="n"/>
      <c r="O7" s="43" t="n"/>
      <c r="P7" s="43" t="n"/>
      <c r="Q7" s="43" t="n"/>
      <c r="R7" s="43" t="n"/>
      <c r="S7" s="43" t="n"/>
      <c r="T7" s="43" t="n"/>
      <c r="U7" s="43" t="n"/>
      <c r="V7" s="43" t="n"/>
      <c r="W7" s="43" t="n"/>
      <c r="X7" s="43" t="n"/>
      <c r="Y7" s="43" t="n"/>
      <c r="Z7" s="43" t="n"/>
      <c r="AA7" s="43" t="n"/>
      <c r="AB7" s="43" t="n"/>
      <c r="AC7" s="43" t="n"/>
      <c r="AD7" s="43" t="n"/>
      <c r="AE7" s="43" t="n"/>
      <c r="AF7" s="43" t="n"/>
      <c r="AG7" s="43" t="n"/>
      <c r="AH7" s="43" t="n"/>
    </row>
    <row r="8">
      <c r="A8" s="43" t="n"/>
      <c r="B8" s="43" t="n"/>
      <c r="C8" s="43" t="n"/>
      <c r="D8" s="43" t="n"/>
      <c r="E8" s="43" t="n"/>
      <c r="F8" s="43" t="n"/>
      <c r="G8" s="43" t="n"/>
      <c r="H8" s="43" t="n"/>
      <c r="I8" s="43" t="n"/>
      <c r="J8" s="43" t="n"/>
      <c r="K8" s="43" t="n"/>
      <c r="L8" s="43" t="n"/>
      <c r="M8" s="43" t="n"/>
      <c r="N8" s="43" t="n"/>
      <c r="O8" s="43" t="n"/>
      <c r="P8" s="43" t="n"/>
      <c r="Q8" s="43" t="n"/>
      <c r="R8" s="43" t="n"/>
      <c r="S8" s="43" t="n"/>
      <c r="T8" s="43" t="n"/>
      <c r="U8" s="52" t="inlineStr">
        <is>
          <t>計算の途中（この記入例では黄色の3列が従業員ごとの情報）</t>
        </is>
      </c>
      <c r="V8" s="43" t="n"/>
      <c r="W8" s="43" t="n"/>
      <c r="X8" s="43" t="n"/>
      <c r="Y8" s="43" t="n"/>
      <c r="Z8" s="43" t="n"/>
      <c r="AA8" s="43" t="n"/>
      <c r="AB8" s="43" t="n"/>
      <c r="AC8" s="43" t="n"/>
      <c r="AD8" s="43" t="n"/>
      <c r="AE8" s="43" t="n"/>
      <c r="AF8" s="43" t="n"/>
      <c r="AG8" s="43" t="n"/>
      <c r="AH8" s="43" t="n"/>
    </row>
    <row r="9" ht="44" customHeight="1">
      <c r="A9" s="4" t="inlineStr">
        <is>
          <t>No</t>
        </is>
      </c>
      <c r="B9" s="4" t="inlineStr">
        <is>
          <t>氏名</t>
        </is>
      </c>
      <c r="C9" s="4" t="inlineStr">
        <is>
          <t>基本給</t>
        </is>
      </c>
      <c r="D9" s="4" t="inlineStr">
        <is>
          <t>残業手当</t>
        </is>
      </c>
      <c r="E9" s="4" t="inlineStr">
        <is>
          <t>諸手当
（課税）</t>
        </is>
      </c>
      <c r="F9" s="4" t="inlineStr">
        <is>
          <t>通勤手当
（支給額）</t>
        </is>
      </c>
      <c r="G9" s="4" t="inlineStr">
        <is>
          <t>うち
非課税額</t>
        </is>
      </c>
      <c r="H9" s="4" t="inlineStr">
        <is>
          <t>総支給額</t>
        </is>
      </c>
      <c r="I9" s="4" t="inlineStr">
        <is>
          <t>健康保険料
（介護・支援金を含む）</t>
        </is>
      </c>
      <c r="J9" s="4" t="inlineStr">
        <is>
          <t>厚生年金
保険料</t>
        </is>
      </c>
      <c r="K9" s="4" t="inlineStr">
        <is>
          <t>雇用保険料</t>
        </is>
      </c>
      <c r="L9" s="4" t="inlineStr">
        <is>
          <t>社会保険料
計</t>
        </is>
      </c>
      <c r="M9" s="4" t="inlineStr">
        <is>
          <t>所得税</t>
        </is>
      </c>
      <c r="N9" s="4" t="inlineStr">
        <is>
          <t>所得税を手入力
する場合</t>
        </is>
      </c>
      <c r="O9" s="4" t="inlineStr">
        <is>
          <t>住民税</t>
        </is>
      </c>
      <c r="P9" s="4" t="inlineStr">
        <is>
          <t>その他控除</t>
        </is>
      </c>
      <c r="Q9" s="4" t="inlineStr">
        <is>
          <t>控除合計</t>
        </is>
      </c>
      <c r="R9" s="4" t="inlineStr">
        <is>
          <t>差引支給額</t>
        </is>
      </c>
      <c r="S9" s="4" t="inlineStr">
        <is>
          <t>確認</t>
        </is>
      </c>
      <c r="T9" s="43" t="n"/>
      <c r="U9" s="24" t="inlineStr">
        <is>
          <t>生年月日</t>
        </is>
      </c>
      <c r="V9" s="24" t="inlineStr">
        <is>
          <t>標準報酬月額
健保</t>
        </is>
      </c>
      <c r="W9" s="24" t="inlineStr">
        <is>
          <t>標準報酬月額
厚年</t>
        </is>
      </c>
      <c r="X9" s="24" t="inlineStr">
        <is>
          <t>扶養親族
等の数</t>
        </is>
      </c>
      <c r="Y9" s="24" t="inlineStr">
        <is>
          <t>税額表
の欄</t>
        </is>
      </c>
      <c r="Z9" s="24" t="inlineStr">
        <is>
          <t>社会保険
加入</t>
        </is>
      </c>
      <c r="AA9" s="24" t="inlineStr">
        <is>
          <t>雇用保険
加入</t>
        </is>
      </c>
      <c r="AB9" s="24" t="inlineStr">
        <is>
          <t>介護保険
（1=対象）</t>
        </is>
      </c>
      <c r="AC9" s="24" t="inlineStr">
        <is>
          <t>課税される
支給額</t>
        </is>
      </c>
      <c r="AD9" s="24" t="inlineStr">
        <is>
          <t>社保控除後
の給与</t>
        </is>
      </c>
      <c r="AE9" s="24" t="inlineStr">
        <is>
          <t>給与所得
控除</t>
        </is>
      </c>
      <c r="AF9" s="24" t="inlineStr">
        <is>
          <t>基礎控除</t>
        </is>
      </c>
      <c r="AG9" s="24" t="inlineStr">
        <is>
          <t>課税給与
所得金額</t>
        </is>
      </c>
      <c r="AH9" s="24" t="inlineStr">
        <is>
          <t>所得税
（算式の額）</t>
        </is>
      </c>
    </row>
    <row r="10">
      <c r="A10" s="12" t="n">
        <v>1</v>
      </c>
      <c r="B10" s="13" t="inlineStr">
        <is>
          <t>従業員A</t>
        </is>
      </c>
      <c r="C10" s="15" t="n">
        <v>270000</v>
      </c>
      <c r="D10" s="15" t="n">
        <v>25000</v>
      </c>
      <c r="E10" s="15" t="n">
        <v>15000</v>
      </c>
      <c r="F10" s="15" t="n">
        <v>10000</v>
      </c>
      <c r="G10" s="15" t="n">
        <v>10000</v>
      </c>
      <c r="H10" s="16">
        <f>IF($B10="","",C10+D10+E10+F10)</f>
        <v/>
      </c>
      <c r="I10" s="16">
        <f>IF($B10="","",IF($Z10="○",ROUND(ROUND($V10*($C$24+$AB10*$C$25+IF($B$4&gt;='料率・等級表'!$M$7,$C$26,0))/2,4)-0.0001,0),0))</f>
        <v/>
      </c>
      <c r="J10" s="16">
        <f>IF($B10="","",IF($Z10="○",ROUND(ROUND($W10*$C$27/2,4)-0.0001,0),0))</f>
        <v/>
      </c>
      <c r="K10" s="16">
        <f>IF($B10="","",IF($AA10="○",ROUND(ROUND($H10*$C$28,4)-0.0001,0),0))</f>
        <v/>
      </c>
      <c r="L10" s="16">
        <f>IF($B10="","",I10+J10+K10)</f>
        <v/>
      </c>
      <c r="M10" s="16">
        <f>IF($B10="","",IF(N10&lt;&gt;"",N10,IF($Y10="乙",0,$AH10)))</f>
        <v/>
      </c>
      <c r="N10" s="15" t="n"/>
      <c r="O10" s="15" t="n">
        <v>15500</v>
      </c>
      <c r="P10" s="15" t="n"/>
      <c r="Q10" s="16">
        <f>IF($B10="","",L10+M10+O10+P10)</f>
        <v/>
      </c>
      <c r="R10" s="16">
        <f>IF($B10="","",H10-Q10)</f>
        <v/>
      </c>
      <c r="S10" s="22">
        <f>IF($B10="","",IF(AND($Y10="乙",N10=""),"乙欄: 所得税を手入力してください",IF(AND($Z10="○",$V10=0),"標準報酬月額が未入力です",IF($H10=0,"支給額が未入力です",""))))</f>
        <v/>
      </c>
      <c r="T10" s="43" t="n"/>
      <c r="U10" s="14" t="n">
        <v>31700</v>
      </c>
      <c r="V10" s="15" t="n">
        <v>300000</v>
      </c>
      <c r="W10" s="16">
        <f>IF(V10="",0,MEDIAN('料率・等級表'!$M$9,V10,'料率・等級表'!$M$10))</f>
        <v/>
      </c>
      <c r="X10" s="17" t="n">
        <v>0</v>
      </c>
      <c r="Y10" s="6" t="inlineStr">
        <is>
          <t>甲</t>
        </is>
      </c>
      <c r="Z10" s="6" t="inlineStr">
        <is>
          <t>○</t>
        </is>
      </c>
      <c r="AA10" s="6" t="inlineStr">
        <is>
          <t>○</t>
        </is>
      </c>
      <c r="AB10" s="26">
        <f>IF(OR($B10="",NOT(ISNUMBER($U10)),$Z10&lt;&gt;"○"),0,IF(AND($B$4&gt;=DATE(YEAR(EDATE($U10,480)-1),MONTH(EDATE($U10,480)-1),1),$B$4&lt;DATE(YEAR(EDATE($U10,780)-1),MONTH(EDATE($U10,780)-1),1)),1,0))</f>
        <v/>
      </c>
      <c r="AC10" s="16">
        <f>IF($B10="","",C10+D10+E10+MAX(0,F10-G10))</f>
        <v/>
      </c>
      <c r="AD10" s="16">
        <f>IF($B10="","",MAX(0,AC10-L10))</f>
        <v/>
      </c>
      <c r="AE10" s="16">
        <f>IF($B10="","",ROUNDUP(ROUND(AD10*LOOKUP(AD10,'料率・等級表'!$O$6:$O$10,'料率・等級表'!$P$6:$P$10)+LOOKUP(AD10,'料率・等級表'!$O$6:$O$10,'料率・等級表'!$Q$6:$Q$10),4),0))</f>
        <v/>
      </c>
      <c r="AF10" s="16">
        <f>IF($B10="","",LOOKUP(AD10,'料率・等級表'!$O$17:$O$21,'料率・等級表'!$P$17:$P$21))</f>
        <v/>
      </c>
      <c r="AG10" s="16">
        <f>IF($B10="","",MAX(0,AD10-AE10-'料率・等級表'!$P$13*X10-AF10))</f>
        <v/>
      </c>
      <c r="AH10" s="16">
        <f>IF($B10="","",ROUND(ROUND(AG10*LOOKUP(AG10,'料率・等級表'!$O$25:$O$31,'料率・等級表'!$P$25:$P$31),6)-LOOKUP(AG10,'料率・等級表'!$O$25:$O$31,'料率・等級表'!$Q$25:$Q$31),-1))</f>
        <v/>
      </c>
    </row>
    <row r="11">
      <c r="A11" s="12" t="n">
        <v>2</v>
      </c>
      <c r="B11" s="13" t="inlineStr">
        <is>
          <t>従業員B</t>
        </is>
      </c>
      <c r="C11" s="15" t="n">
        <v>330000</v>
      </c>
      <c r="D11" s="15" t="n">
        <v>30000</v>
      </c>
      <c r="E11" s="15" t="n">
        <v>20000</v>
      </c>
      <c r="F11" s="15" t="n">
        <v>15000</v>
      </c>
      <c r="G11" s="15" t="n">
        <v>15000</v>
      </c>
      <c r="H11" s="16">
        <f>IF($B11="","",C11+D11+E11+F11)</f>
        <v/>
      </c>
      <c r="I11" s="16">
        <f>IF($B11="","",IF($Z11="○",ROUND(ROUND($V11*($C$24+$AB11*$C$25+IF($B$4&gt;='料率・等級表'!$M$7,$C$26,0))/2,4)-0.0001,0),0))</f>
        <v/>
      </c>
      <c r="J11" s="16">
        <f>IF($B11="","",IF($Z11="○",ROUND(ROUND($W11*$C$27/2,4)-0.0001,0),0))</f>
        <v/>
      </c>
      <c r="K11" s="16">
        <f>IF($B11="","",IF($AA11="○",ROUND(ROUND($H11*$C$28,4)-0.0001,0),0))</f>
        <v/>
      </c>
      <c r="L11" s="16">
        <f>IF($B11="","",I11+J11+K11)</f>
        <v/>
      </c>
      <c r="M11" s="16">
        <f>IF($B11="","",IF(N11&lt;&gt;"",N11,IF($Y11="乙",0,$AH11)))</f>
        <v/>
      </c>
      <c r="N11" s="15" t="n"/>
      <c r="O11" s="15" t="n">
        <v>21000</v>
      </c>
      <c r="P11" s="15" t="n"/>
      <c r="Q11" s="16">
        <f>IF($B11="","",L11+M11+O11+P11)</f>
        <v/>
      </c>
      <c r="R11" s="16">
        <f>IF($B11="","",H11-Q11)</f>
        <v/>
      </c>
      <c r="S11" s="22">
        <f>IF($B11="","",IF(AND($Y11="乙",N11=""),"乙欄: 所得税を手入力してください",IF(AND($Z11="○",$V11=0),"標準報酬月額が未入力です",IF($H11=0,"支給額が未入力です",""))))</f>
        <v/>
      </c>
      <c r="T11" s="43" t="n"/>
      <c r="U11" s="14" t="n">
        <v>29655</v>
      </c>
      <c r="V11" s="15" t="n">
        <v>380000</v>
      </c>
      <c r="W11" s="16">
        <f>IF(V11="",0,MEDIAN('料率・等級表'!$M$9,V11,'料率・等級表'!$M$10))</f>
        <v/>
      </c>
      <c r="X11" s="17" t="n">
        <v>2</v>
      </c>
      <c r="Y11" s="6" t="inlineStr">
        <is>
          <t>甲</t>
        </is>
      </c>
      <c r="Z11" s="6" t="inlineStr">
        <is>
          <t>○</t>
        </is>
      </c>
      <c r="AA11" s="6" t="inlineStr">
        <is>
          <t>○</t>
        </is>
      </c>
      <c r="AB11" s="26">
        <f>IF(OR($B11="",NOT(ISNUMBER($U11)),$Z11&lt;&gt;"○"),0,IF(AND($B$4&gt;=DATE(YEAR(EDATE($U11,480)-1),MONTH(EDATE($U11,480)-1),1),$B$4&lt;DATE(YEAR(EDATE($U11,780)-1),MONTH(EDATE($U11,780)-1),1)),1,0))</f>
        <v/>
      </c>
      <c r="AC11" s="16">
        <f>IF($B11="","",C11+D11+E11+MAX(0,F11-G11))</f>
        <v/>
      </c>
      <c r="AD11" s="16">
        <f>IF($B11="","",MAX(0,AC11-L11))</f>
        <v/>
      </c>
      <c r="AE11" s="16">
        <f>IF($B11="","",ROUNDUP(ROUND(AD11*LOOKUP(AD11,'料率・等級表'!$O$6:$O$10,'料率・等級表'!$P$6:$P$10)+LOOKUP(AD11,'料率・等級表'!$O$6:$O$10,'料率・等級表'!$Q$6:$Q$10),4),0))</f>
        <v/>
      </c>
      <c r="AF11" s="16">
        <f>IF($B11="","",LOOKUP(AD11,'料率・等級表'!$O$17:$O$21,'料率・等級表'!$P$17:$P$21))</f>
        <v/>
      </c>
      <c r="AG11" s="16">
        <f>IF($B11="","",MAX(0,AD11-AE11-'料率・等級表'!$P$13*X11-AF11))</f>
        <v/>
      </c>
      <c r="AH11" s="16">
        <f>IF($B11="","",ROUND(ROUND(AG11*LOOKUP(AG11,'料率・等級表'!$O$25:$O$31,'料率・等級表'!$P$25:$P$31),6)-LOOKUP(AG11,'料率・等級表'!$O$25:$O$31,'料率・等級表'!$Q$25:$Q$31),-1))</f>
        <v/>
      </c>
    </row>
    <row r="12">
      <c r="A12" s="12" t="n">
        <v>3</v>
      </c>
      <c r="B12" s="13" t="inlineStr">
        <is>
          <t>従業員C</t>
        </is>
      </c>
      <c r="C12" s="15" t="n">
        <v>94100</v>
      </c>
      <c r="D12" s="15" t="n">
        <v>0</v>
      </c>
      <c r="E12" s="15" t="n">
        <v>0</v>
      </c>
      <c r="F12" s="15" t="n">
        <v>4000</v>
      </c>
      <c r="G12" s="15" t="n">
        <v>4000</v>
      </c>
      <c r="H12" s="16">
        <f>IF($B12="","",C12+D12+E12+F12)</f>
        <v/>
      </c>
      <c r="I12" s="16">
        <f>IF($B12="","",IF($Z12="○",ROUND(ROUND($V12*($C$24+$AB12*$C$25+IF($B$4&gt;='料率・等級表'!$M$7,$C$26,0))/2,4)-0.0001,0),0))</f>
        <v/>
      </c>
      <c r="J12" s="16">
        <f>IF($B12="","",IF($Z12="○",ROUND(ROUND($W12*$C$27/2,4)-0.0001,0),0))</f>
        <v/>
      </c>
      <c r="K12" s="16">
        <f>IF($B12="","",IF($AA12="○",ROUND(ROUND($H12*$C$28,4)-0.0001,0),0))</f>
        <v/>
      </c>
      <c r="L12" s="16">
        <f>IF($B12="","",I12+J12+K12)</f>
        <v/>
      </c>
      <c r="M12" s="16">
        <f>IF($B12="","",IF(N12&lt;&gt;"",N12,IF($Y12="乙",0,$AH12)))</f>
        <v/>
      </c>
      <c r="N12" s="15" t="n"/>
      <c r="O12" s="15" t="n">
        <v>0</v>
      </c>
      <c r="P12" s="15" t="n"/>
      <c r="Q12" s="16">
        <f>IF($B12="","",L12+M12+O12+P12)</f>
        <v/>
      </c>
      <c r="R12" s="16">
        <f>IF($B12="","",H12-Q12)</f>
        <v/>
      </c>
      <c r="S12" s="22">
        <f>IF($B12="","",IF(AND($Y12="乙",N12=""),"乙欄: 所得税を手入力してください",IF(AND($Z12="○",$V12=0),"標準報酬月額が未入力です",IF($H12=0,"支給額が未入力です",""))))</f>
        <v/>
      </c>
      <c r="T12" s="43" t="n"/>
      <c r="U12" s="14" t="n">
        <v>26439</v>
      </c>
      <c r="V12" s="15" t="n"/>
      <c r="W12" s="16">
        <f>IF(V12="",0,MEDIAN('料率・等級表'!$M$9,V12,'料率・等級表'!$M$10))</f>
        <v/>
      </c>
      <c r="X12" s="17" t="n">
        <v>0</v>
      </c>
      <c r="Y12" s="6" t="inlineStr">
        <is>
          <t>甲</t>
        </is>
      </c>
      <c r="Z12" s="6" t="inlineStr">
        <is>
          <t>×</t>
        </is>
      </c>
      <c r="AA12" s="6" t="inlineStr">
        <is>
          <t>○</t>
        </is>
      </c>
      <c r="AB12" s="26">
        <f>IF(OR($B12="",NOT(ISNUMBER($U12)),$Z12&lt;&gt;"○"),0,IF(AND($B$4&gt;=DATE(YEAR(EDATE($U12,480)-1),MONTH(EDATE($U12,480)-1),1),$B$4&lt;DATE(YEAR(EDATE($U12,780)-1),MONTH(EDATE($U12,780)-1),1)),1,0))</f>
        <v/>
      </c>
      <c r="AC12" s="16">
        <f>IF($B12="","",C12+D12+E12+MAX(0,F12-G12))</f>
        <v/>
      </c>
      <c r="AD12" s="16">
        <f>IF($B12="","",MAX(0,AC12-L12))</f>
        <v/>
      </c>
      <c r="AE12" s="16">
        <f>IF($B12="","",ROUNDUP(ROUND(AD12*LOOKUP(AD12,'料率・等級表'!$O$6:$O$10,'料率・等級表'!$P$6:$P$10)+LOOKUP(AD12,'料率・等級表'!$O$6:$O$10,'料率・等級表'!$Q$6:$Q$10),4),0))</f>
        <v/>
      </c>
      <c r="AF12" s="16">
        <f>IF($B12="","",LOOKUP(AD12,'料率・等級表'!$O$17:$O$21,'料率・等級表'!$P$17:$P$21))</f>
        <v/>
      </c>
      <c r="AG12" s="16">
        <f>IF($B12="","",MAX(0,AD12-AE12-'料率・等級表'!$P$13*X12-AF12))</f>
        <v/>
      </c>
      <c r="AH12" s="16">
        <f>IF($B12="","",ROUND(ROUND(AG12*LOOKUP(AG12,'料率・等級表'!$O$25:$O$31,'料率・等級表'!$P$25:$P$31),6)-LOOKUP(AG12,'料率・等級表'!$O$25:$O$31,'料率・等級表'!$Q$25:$Q$31),-1))</f>
        <v/>
      </c>
    </row>
    <row r="13">
      <c r="A13" s="12" t="n">
        <v>4</v>
      </c>
      <c r="B13" s="13" t="n"/>
      <c r="C13" s="15" t="n"/>
      <c r="D13" s="15" t="n"/>
      <c r="E13" s="15" t="n"/>
      <c r="F13" s="15" t="n"/>
      <c r="G13" s="15" t="n"/>
      <c r="H13" s="16">
        <f>IF($B13="","",C13+D13+E13+F13)</f>
        <v/>
      </c>
      <c r="I13" s="16">
        <f>IF($B13="","",IF($Z13="○",ROUND(ROUND($V13*($C$24+$AB13*$C$25+IF($B$4&gt;='料率・等級表'!$M$7,$C$26,0))/2,4)-0.0001,0),0))</f>
        <v/>
      </c>
      <c r="J13" s="16">
        <f>IF($B13="","",IF($Z13="○",ROUND(ROUND($W13*$C$27/2,4)-0.0001,0),0))</f>
        <v/>
      </c>
      <c r="K13" s="16">
        <f>IF($B13="","",IF($AA13="○",ROUND(ROUND($H13*$C$28,4)-0.0001,0),0))</f>
        <v/>
      </c>
      <c r="L13" s="16">
        <f>IF($B13="","",I13+J13+K13)</f>
        <v/>
      </c>
      <c r="M13" s="16">
        <f>IF($B13="","",IF(N13&lt;&gt;"",N13,IF($Y13="乙",0,$AH13)))</f>
        <v/>
      </c>
      <c r="N13" s="15" t="n"/>
      <c r="O13" s="15" t="n"/>
      <c r="P13" s="15" t="n"/>
      <c r="Q13" s="16">
        <f>IF($B13="","",L13+M13+O13+P13)</f>
        <v/>
      </c>
      <c r="R13" s="16">
        <f>IF($B13="","",H13-Q13)</f>
        <v/>
      </c>
      <c r="S13" s="22">
        <f>IF($B13="","",IF(AND($Y13="乙",N13=""),"乙欄: 所得税を手入力してください",IF(AND($Z13="○",$V13=0),"標準報酬月額が未入力です",IF($H13=0,"支給額が未入力です",""))))</f>
        <v/>
      </c>
      <c r="T13" s="43" t="n"/>
      <c r="U13" s="14" t="n"/>
      <c r="V13" s="15" t="n"/>
      <c r="W13" s="16">
        <f>IF(V13="",0,MEDIAN('料率・等級表'!$M$9,V13,'料率・等級表'!$M$10))</f>
        <v/>
      </c>
      <c r="X13" s="17" t="n"/>
      <c r="Y13" s="6" t="n"/>
      <c r="Z13" s="6" t="n"/>
      <c r="AA13" s="6" t="n"/>
      <c r="AB13" s="26">
        <f>IF(OR($B13="",NOT(ISNUMBER($U13)),$Z13&lt;&gt;"○"),0,IF(AND($B$4&gt;=DATE(YEAR(EDATE($U13,480)-1),MONTH(EDATE($U13,480)-1),1),$B$4&lt;DATE(YEAR(EDATE($U13,780)-1),MONTH(EDATE($U13,780)-1),1)),1,0))</f>
        <v/>
      </c>
      <c r="AC13" s="16">
        <f>IF($B13="","",C13+D13+E13+MAX(0,F13-G13))</f>
        <v/>
      </c>
      <c r="AD13" s="16">
        <f>IF($B13="","",MAX(0,AC13-L13))</f>
        <v/>
      </c>
      <c r="AE13" s="16">
        <f>IF($B13="","",ROUNDUP(ROUND(AD13*LOOKUP(AD13,'料率・等級表'!$O$6:$O$10,'料率・等級表'!$P$6:$P$10)+LOOKUP(AD13,'料率・等級表'!$O$6:$O$10,'料率・等級表'!$Q$6:$Q$10),4),0))</f>
        <v/>
      </c>
      <c r="AF13" s="16">
        <f>IF($B13="","",LOOKUP(AD13,'料率・等級表'!$O$17:$O$21,'料率・等級表'!$P$17:$P$21))</f>
        <v/>
      </c>
      <c r="AG13" s="16">
        <f>IF($B13="","",MAX(0,AD13-AE13-'料率・等級表'!$P$13*X13-AF13))</f>
        <v/>
      </c>
      <c r="AH13" s="16">
        <f>IF($B13="","",ROUND(ROUND(AG13*LOOKUP(AG13,'料率・等級表'!$O$25:$O$31,'料率・等級表'!$P$25:$P$31),6)-LOOKUP(AG13,'料率・等級表'!$O$25:$O$31,'料率・等級表'!$Q$25:$Q$31),-1))</f>
        <v/>
      </c>
    </row>
    <row r="14">
      <c r="A14" s="12" t="n">
        <v>5</v>
      </c>
      <c r="B14" s="13" t="n"/>
      <c r="C14" s="15" t="n"/>
      <c r="D14" s="15" t="n"/>
      <c r="E14" s="15" t="n"/>
      <c r="F14" s="15" t="n"/>
      <c r="G14" s="15" t="n"/>
      <c r="H14" s="16">
        <f>IF($B14="","",C14+D14+E14+F14)</f>
        <v/>
      </c>
      <c r="I14" s="16">
        <f>IF($B14="","",IF($Z14="○",ROUND(ROUND($V14*($C$24+$AB14*$C$25+IF($B$4&gt;='料率・等級表'!$M$7,$C$26,0))/2,4)-0.0001,0),0))</f>
        <v/>
      </c>
      <c r="J14" s="16">
        <f>IF($B14="","",IF($Z14="○",ROUND(ROUND($W14*$C$27/2,4)-0.0001,0),0))</f>
        <v/>
      </c>
      <c r="K14" s="16">
        <f>IF($B14="","",IF($AA14="○",ROUND(ROUND($H14*$C$28,4)-0.0001,0),0))</f>
        <v/>
      </c>
      <c r="L14" s="16">
        <f>IF($B14="","",I14+J14+K14)</f>
        <v/>
      </c>
      <c r="M14" s="16">
        <f>IF($B14="","",IF(N14&lt;&gt;"",N14,IF($Y14="乙",0,$AH14)))</f>
        <v/>
      </c>
      <c r="N14" s="15" t="n"/>
      <c r="O14" s="15" t="n"/>
      <c r="P14" s="15" t="n"/>
      <c r="Q14" s="16">
        <f>IF($B14="","",L14+M14+O14+P14)</f>
        <v/>
      </c>
      <c r="R14" s="16">
        <f>IF($B14="","",H14-Q14)</f>
        <v/>
      </c>
      <c r="S14" s="22">
        <f>IF($B14="","",IF(AND($Y14="乙",N14=""),"乙欄: 所得税を手入力してください",IF(AND($Z14="○",$V14=0),"標準報酬月額が未入力です",IF($H14=0,"支給額が未入力です",""))))</f>
        <v/>
      </c>
      <c r="T14" s="43" t="n"/>
      <c r="U14" s="14" t="n"/>
      <c r="V14" s="15" t="n"/>
      <c r="W14" s="16">
        <f>IF(V14="",0,MEDIAN('料率・等級表'!$M$9,V14,'料率・等級表'!$M$10))</f>
        <v/>
      </c>
      <c r="X14" s="17" t="n"/>
      <c r="Y14" s="6" t="n"/>
      <c r="Z14" s="6" t="n"/>
      <c r="AA14" s="6" t="n"/>
      <c r="AB14" s="26">
        <f>IF(OR($B14="",NOT(ISNUMBER($U14)),$Z14&lt;&gt;"○"),0,IF(AND($B$4&gt;=DATE(YEAR(EDATE($U14,480)-1),MONTH(EDATE($U14,480)-1),1),$B$4&lt;DATE(YEAR(EDATE($U14,780)-1),MONTH(EDATE($U14,780)-1),1)),1,0))</f>
        <v/>
      </c>
      <c r="AC14" s="16">
        <f>IF($B14="","",C14+D14+E14+MAX(0,F14-G14))</f>
        <v/>
      </c>
      <c r="AD14" s="16">
        <f>IF($B14="","",MAX(0,AC14-L14))</f>
        <v/>
      </c>
      <c r="AE14" s="16">
        <f>IF($B14="","",ROUNDUP(ROUND(AD14*LOOKUP(AD14,'料率・等級表'!$O$6:$O$10,'料率・等級表'!$P$6:$P$10)+LOOKUP(AD14,'料率・等級表'!$O$6:$O$10,'料率・等級表'!$Q$6:$Q$10),4),0))</f>
        <v/>
      </c>
      <c r="AF14" s="16">
        <f>IF($B14="","",LOOKUP(AD14,'料率・等級表'!$O$17:$O$21,'料率・等級表'!$P$17:$P$21))</f>
        <v/>
      </c>
      <c r="AG14" s="16">
        <f>IF($B14="","",MAX(0,AD14-AE14-'料率・等級表'!$P$13*X14-AF14))</f>
        <v/>
      </c>
      <c r="AH14" s="16">
        <f>IF($B14="","",ROUND(ROUND(AG14*LOOKUP(AG14,'料率・等級表'!$O$25:$O$31,'料率・等級表'!$P$25:$P$31),6)-LOOKUP(AG14,'料率・等級表'!$O$25:$O$31,'料率・等級表'!$Q$25:$Q$31),-1))</f>
        <v/>
      </c>
    </row>
    <row r="15">
      <c r="A15" s="12" t="n">
        <v>6</v>
      </c>
      <c r="B15" s="13" t="n"/>
      <c r="C15" s="15" t="n"/>
      <c r="D15" s="15" t="n"/>
      <c r="E15" s="15" t="n"/>
      <c r="F15" s="15" t="n"/>
      <c r="G15" s="15" t="n"/>
      <c r="H15" s="16">
        <f>IF($B15="","",C15+D15+E15+F15)</f>
        <v/>
      </c>
      <c r="I15" s="16">
        <f>IF($B15="","",IF($Z15="○",ROUND(ROUND($V15*($C$24+$AB15*$C$25+IF($B$4&gt;='料率・等級表'!$M$7,$C$26,0))/2,4)-0.0001,0),0))</f>
        <v/>
      </c>
      <c r="J15" s="16">
        <f>IF($B15="","",IF($Z15="○",ROUND(ROUND($W15*$C$27/2,4)-0.0001,0),0))</f>
        <v/>
      </c>
      <c r="K15" s="16">
        <f>IF($B15="","",IF($AA15="○",ROUND(ROUND($H15*$C$28,4)-0.0001,0),0))</f>
        <v/>
      </c>
      <c r="L15" s="16">
        <f>IF($B15="","",I15+J15+K15)</f>
        <v/>
      </c>
      <c r="M15" s="16">
        <f>IF($B15="","",IF(N15&lt;&gt;"",N15,IF($Y15="乙",0,$AH15)))</f>
        <v/>
      </c>
      <c r="N15" s="15" t="n"/>
      <c r="O15" s="15" t="n"/>
      <c r="P15" s="15" t="n"/>
      <c r="Q15" s="16">
        <f>IF($B15="","",L15+M15+O15+P15)</f>
        <v/>
      </c>
      <c r="R15" s="16">
        <f>IF($B15="","",H15-Q15)</f>
        <v/>
      </c>
      <c r="S15" s="22">
        <f>IF($B15="","",IF(AND($Y15="乙",N15=""),"乙欄: 所得税を手入力してください",IF(AND($Z15="○",$V15=0),"標準報酬月額が未入力です",IF($H15=0,"支給額が未入力です",""))))</f>
        <v/>
      </c>
      <c r="T15" s="43" t="n"/>
      <c r="U15" s="14" t="n"/>
      <c r="V15" s="15" t="n"/>
      <c r="W15" s="16">
        <f>IF(V15="",0,MEDIAN('料率・等級表'!$M$9,V15,'料率・等級表'!$M$10))</f>
        <v/>
      </c>
      <c r="X15" s="17" t="n"/>
      <c r="Y15" s="6" t="n"/>
      <c r="Z15" s="6" t="n"/>
      <c r="AA15" s="6" t="n"/>
      <c r="AB15" s="26">
        <f>IF(OR($B15="",NOT(ISNUMBER($U15)),$Z15&lt;&gt;"○"),0,IF(AND($B$4&gt;=DATE(YEAR(EDATE($U15,480)-1),MONTH(EDATE($U15,480)-1),1),$B$4&lt;DATE(YEAR(EDATE($U15,780)-1),MONTH(EDATE($U15,780)-1),1)),1,0))</f>
        <v/>
      </c>
      <c r="AC15" s="16">
        <f>IF($B15="","",C15+D15+E15+MAX(0,F15-G15))</f>
        <v/>
      </c>
      <c r="AD15" s="16">
        <f>IF($B15="","",MAX(0,AC15-L15))</f>
        <v/>
      </c>
      <c r="AE15" s="16">
        <f>IF($B15="","",ROUNDUP(ROUND(AD15*LOOKUP(AD15,'料率・等級表'!$O$6:$O$10,'料率・等級表'!$P$6:$P$10)+LOOKUP(AD15,'料率・等級表'!$O$6:$O$10,'料率・等級表'!$Q$6:$Q$10),4),0))</f>
        <v/>
      </c>
      <c r="AF15" s="16">
        <f>IF($B15="","",LOOKUP(AD15,'料率・等級表'!$O$17:$O$21,'料率・等級表'!$P$17:$P$21))</f>
        <v/>
      </c>
      <c r="AG15" s="16">
        <f>IF($B15="","",MAX(0,AD15-AE15-'料率・等級表'!$P$13*X15-AF15))</f>
        <v/>
      </c>
      <c r="AH15" s="16">
        <f>IF($B15="","",ROUND(ROUND(AG15*LOOKUP(AG15,'料率・等級表'!$O$25:$O$31,'料率・等級表'!$P$25:$P$31),6)-LOOKUP(AG15,'料率・等級表'!$O$25:$O$31,'料率・等級表'!$Q$25:$Q$31),-1))</f>
        <v/>
      </c>
    </row>
    <row r="16">
      <c r="A16" s="12" t="n">
        <v>7</v>
      </c>
      <c r="B16" s="13" t="n"/>
      <c r="C16" s="15" t="n"/>
      <c r="D16" s="15" t="n"/>
      <c r="E16" s="15" t="n"/>
      <c r="F16" s="15" t="n"/>
      <c r="G16" s="15" t="n"/>
      <c r="H16" s="16">
        <f>IF($B16="","",C16+D16+E16+F16)</f>
        <v/>
      </c>
      <c r="I16" s="16">
        <f>IF($B16="","",IF($Z16="○",ROUND(ROUND($V16*($C$24+$AB16*$C$25+IF($B$4&gt;='料率・等級表'!$M$7,$C$26,0))/2,4)-0.0001,0),0))</f>
        <v/>
      </c>
      <c r="J16" s="16">
        <f>IF($B16="","",IF($Z16="○",ROUND(ROUND($W16*$C$27/2,4)-0.0001,0),0))</f>
        <v/>
      </c>
      <c r="K16" s="16">
        <f>IF($B16="","",IF($AA16="○",ROUND(ROUND($H16*$C$28,4)-0.0001,0),0))</f>
        <v/>
      </c>
      <c r="L16" s="16">
        <f>IF($B16="","",I16+J16+K16)</f>
        <v/>
      </c>
      <c r="M16" s="16">
        <f>IF($B16="","",IF(N16&lt;&gt;"",N16,IF($Y16="乙",0,$AH16)))</f>
        <v/>
      </c>
      <c r="N16" s="15" t="n"/>
      <c r="O16" s="15" t="n"/>
      <c r="P16" s="15" t="n"/>
      <c r="Q16" s="16">
        <f>IF($B16="","",L16+M16+O16+P16)</f>
        <v/>
      </c>
      <c r="R16" s="16">
        <f>IF($B16="","",H16-Q16)</f>
        <v/>
      </c>
      <c r="S16" s="22">
        <f>IF($B16="","",IF(AND($Y16="乙",N16=""),"乙欄: 所得税を手入力してください",IF(AND($Z16="○",$V16=0),"標準報酬月額が未入力です",IF($H16=0,"支給額が未入力です",""))))</f>
        <v/>
      </c>
      <c r="T16" s="43" t="n"/>
      <c r="U16" s="14" t="n"/>
      <c r="V16" s="15" t="n"/>
      <c r="W16" s="16">
        <f>IF(V16="",0,MEDIAN('料率・等級表'!$M$9,V16,'料率・等級表'!$M$10))</f>
        <v/>
      </c>
      <c r="X16" s="17" t="n"/>
      <c r="Y16" s="6" t="n"/>
      <c r="Z16" s="6" t="n"/>
      <c r="AA16" s="6" t="n"/>
      <c r="AB16" s="26">
        <f>IF(OR($B16="",NOT(ISNUMBER($U16)),$Z16&lt;&gt;"○"),0,IF(AND($B$4&gt;=DATE(YEAR(EDATE($U16,480)-1),MONTH(EDATE($U16,480)-1),1),$B$4&lt;DATE(YEAR(EDATE($U16,780)-1),MONTH(EDATE($U16,780)-1),1)),1,0))</f>
        <v/>
      </c>
      <c r="AC16" s="16">
        <f>IF($B16="","",C16+D16+E16+MAX(0,F16-G16))</f>
        <v/>
      </c>
      <c r="AD16" s="16">
        <f>IF($B16="","",MAX(0,AC16-L16))</f>
        <v/>
      </c>
      <c r="AE16" s="16">
        <f>IF($B16="","",ROUNDUP(ROUND(AD16*LOOKUP(AD16,'料率・等級表'!$O$6:$O$10,'料率・等級表'!$P$6:$P$10)+LOOKUP(AD16,'料率・等級表'!$O$6:$O$10,'料率・等級表'!$Q$6:$Q$10),4),0))</f>
        <v/>
      </c>
      <c r="AF16" s="16">
        <f>IF($B16="","",LOOKUP(AD16,'料率・等級表'!$O$17:$O$21,'料率・等級表'!$P$17:$P$21))</f>
        <v/>
      </c>
      <c r="AG16" s="16">
        <f>IF($B16="","",MAX(0,AD16-AE16-'料率・等級表'!$P$13*X16-AF16))</f>
        <v/>
      </c>
      <c r="AH16" s="16">
        <f>IF($B16="","",ROUND(ROUND(AG16*LOOKUP(AG16,'料率・等級表'!$O$25:$O$31,'料率・等級表'!$P$25:$P$31),6)-LOOKUP(AG16,'料率・等級表'!$O$25:$O$31,'料率・等級表'!$Q$25:$Q$31),-1))</f>
        <v/>
      </c>
    </row>
    <row r="17">
      <c r="A17" s="12" t="n">
        <v>8</v>
      </c>
      <c r="B17" s="13" t="n"/>
      <c r="C17" s="15" t="n"/>
      <c r="D17" s="15" t="n"/>
      <c r="E17" s="15" t="n"/>
      <c r="F17" s="15" t="n"/>
      <c r="G17" s="15" t="n"/>
      <c r="H17" s="16">
        <f>IF($B17="","",C17+D17+E17+F17)</f>
        <v/>
      </c>
      <c r="I17" s="16">
        <f>IF($B17="","",IF($Z17="○",ROUND(ROUND($V17*($C$24+$AB17*$C$25+IF($B$4&gt;='料率・等級表'!$M$7,$C$26,0))/2,4)-0.0001,0),0))</f>
        <v/>
      </c>
      <c r="J17" s="16">
        <f>IF($B17="","",IF($Z17="○",ROUND(ROUND($W17*$C$27/2,4)-0.0001,0),0))</f>
        <v/>
      </c>
      <c r="K17" s="16">
        <f>IF($B17="","",IF($AA17="○",ROUND(ROUND($H17*$C$28,4)-0.0001,0),0))</f>
        <v/>
      </c>
      <c r="L17" s="16">
        <f>IF($B17="","",I17+J17+K17)</f>
        <v/>
      </c>
      <c r="M17" s="16">
        <f>IF($B17="","",IF(N17&lt;&gt;"",N17,IF($Y17="乙",0,$AH17)))</f>
        <v/>
      </c>
      <c r="N17" s="15" t="n"/>
      <c r="O17" s="15" t="n"/>
      <c r="P17" s="15" t="n"/>
      <c r="Q17" s="16">
        <f>IF($B17="","",L17+M17+O17+P17)</f>
        <v/>
      </c>
      <c r="R17" s="16">
        <f>IF($B17="","",H17-Q17)</f>
        <v/>
      </c>
      <c r="S17" s="22">
        <f>IF($B17="","",IF(AND($Y17="乙",N17=""),"乙欄: 所得税を手入力してください",IF(AND($Z17="○",$V17=0),"標準報酬月額が未入力です",IF($H17=0,"支給額が未入力です",""))))</f>
        <v/>
      </c>
      <c r="T17" s="43" t="n"/>
      <c r="U17" s="14" t="n"/>
      <c r="V17" s="15" t="n"/>
      <c r="W17" s="16">
        <f>IF(V17="",0,MEDIAN('料率・等級表'!$M$9,V17,'料率・等級表'!$M$10))</f>
        <v/>
      </c>
      <c r="X17" s="17" t="n"/>
      <c r="Y17" s="6" t="n"/>
      <c r="Z17" s="6" t="n"/>
      <c r="AA17" s="6" t="n"/>
      <c r="AB17" s="26">
        <f>IF(OR($B17="",NOT(ISNUMBER($U17)),$Z17&lt;&gt;"○"),0,IF(AND($B$4&gt;=DATE(YEAR(EDATE($U17,480)-1),MONTH(EDATE($U17,480)-1),1),$B$4&lt;DATE(YEAR(EDATE($U17,780)-1),MONTH(EDATE($U17,780)-1),1)),1,0))</f>
        <v/>
      </c>
      <c r="AC17" s="16">
        <f>IF($B17="","",C17+D17+E17+MAX(0,F17-G17))</f>
        <v/>
      </c>
      <c r="AD17" s="16">
        <f>IF($B17="","",MAX(0,AC17-L17))</f>
        <v/>
      </c>
      <c r="AE17" s="16">
        <f>IF($B17="","",ROUNDUP(ROUND(AD17*LOOKUP(AD17,'料率・等級表'!$O$6:$O$10,'料率・等級表'!$P$6:$P$10)+LOOKUP(AD17,'料率・等級表'!$O$6:$O$10,'料率・等級表'!$Q$6:$Q$10),4),0))</f>
        <v/>
      </c>
      <c r="AF17" s="16">
        <f>IF($B17="","",LOOKUP(AD17,'料率・等級表'!$O$17:$O$21,'料率・等級表'!$P$17:$P$21))</f>
        <v/>
      </c>
      <c r="AG17" s="16">
        <f>IF($B17="","",MAX(0,AD17-AE17-'料率・等級表'!$P$13*X17-AF17))</f>
        <v/>
      </c>
      <c r="AH17" s="16">
        <f>IF($B17="","",ROUND(ROUND(AG17*LOOKUP(AG17,'料率・等級表'!$O$25:$O$31,'料率・等級表'!$P$25:$P$31),6)-LOOKUP(AG17,'料率・等級表'!$O$25:$O$31,'料率・等級表'!$Q$25:$Q$31),-1))</f>
        <v/>
      </c>
    </row>
    <row r="18">
      <c r="A18" s="12" t="n">
        <v>9</v>
      </c>
      <c r="B18" s="13" t="n"/>
      <c r="C18" s="15" t="n"/>
      <c r="D18" s="15" t="n"/>
      <c r="E18" s="15" t="n"/>
      <c r="F18" s="15" t="n"/>
      <c r="G18" s="15" t="n"/>
      <c r="H18" s="16">
        <f>IF($B18="","",C18+D18+E18+F18)</f>
        <v/>
      </c>
      <c r="I18" s="16">
        <f>IF($B18="","",IF($Z18="○",ROUND(ROUND($V18*($C$24+$AB18*$C$25+IF($B$4&gt;='料率・等級表'!$M$7,$C$26,0))/2,4)-0.0001,0),0))</f>
        <v/>
      </c>
      <c r="J18" s="16">
        <f>IF($B18="","",IF($Z18="○",ROUND(ROUND($W18*$C$27/2,4)-0.0001,0),0))</f>
        <v/>
      </c>
      <c r="K18" s="16">
        <f>IF($B18="","",IF($AA18="○",ROUND(ROUND($H18*$C$28,4)-0.0001,0),0))</f>
        <v/>
      </c>
      <c r="L18" s="16">
        <f>IF($B18="","",I18+J18+K18)</f>
        <v/>
      </c>
      <c r="M18" s="16">
        <f>IF($B18="","",IF(N18&lt;&gt;"",N18,IF($Y18="乙",0,$AH18)))</f>
        <v/>
      </c>
      <c r="N18" s="15" t="n"/>
      <c r="O18" s="15" t="n"/>
      <c r="P18" s="15" t="n"/>
      <c r="Q18" s="16">
        <f>IF($B18="","",L18+M18+O18+P18)</f>
        <v/>
      </c>
      <c r="R18" s="16">
        <f>IF($B18="","",H18-Q18)</f>
        <v/>
      </c>
      <c r="S18" s="22">
        <f>IF($B18="","",IF(AND($Y18="乙",N18=""),"乙欄: 所得税を手入力してください",IF(AND($Z18="○",$V18=0),"標準報酬月額が未入力です",IF($H18=0,"支給額が未入力です",""))))</f>
        <v/>
      </c>
      <c r="T18" s="43" t="n"/>
      <c r="U18" s="14" t="n"/>
      <c r="V18" s="15" t="n"/>
      <c r="W18" s="16">
        <f>IF(V18="",0,MEDIAN('料率・等級表'!$M$9,V18,'料率・等級表'!$M$10))</f>
        <v/>
      </c>
      <c r="X18" s="17" t="n"/>
      <c r="Y18" s="6" t="n"/>
      <c r="Z18" s="6" t="n"/>
      <c r="AA18" s="6" t="n"/>
      <c r="AB18" s="26">
        <f>IF(OR($B18="",NOT(ISNUMBER($U18)),$Z18&lt;&gt;"○"),0,IF(AND($B$4&gt;=DATE(YEAR(EDATE($U18,480)-1),MONTH(EDATE($U18,480)-1),1),$B$4&lt;DATE(YEAR(EDATE($U18,780)-1),MONTH(EDATE($U18,780)-1),1)),1,0))</f>
        <v/>
      </c>
      <c r="AC18" s="16">
        <f>IF($B18="","",C18+D18+E18+MAX(0,F18-G18))</f>
        <v/>
      </c>
      <c r="AD18" s="16">
        <f>IF($B18="","",MAX(0,AC18-L18))</f>
        <v/>
      </c>
      <c r="AE18" s="16">
        <f>IF($B18="","",ROUNDUP(ROUND(AD18*LOOKUP(AD18,'料率・等級表'!$O$6:$O$10,'料率・等級表'!$P$6:$P$10)+LOOKUP(AD18,'料率・等級表'!$O$6:$O$10,'料率・等級表'!$Q$6:$Q$10),4),0))</f>
        <v/>
      </c>
      <c r="AF18" s="16">
        <f>IF($B18="","",LOOKUP(AD18,'料率・等級表'!$O$17:$O$21,'料率・等級表'!$P$17:$P$21))</f>
        <v/>
      </c>
      <c r="AG18" s="16">
        <f>IF($B18="","",MAX(0,AD18-AE18-'料率・等級表'!$P$13*X18-AF18))</f>
        <v/>
      </c>
      <c r="AH18" s="16">
        <f>IF($B18="","",ROUND(ROUND(AG18*LOOKUP(AG18,'料率・等級表'!$O$25:$O$31,'料率・等級表'!$P$25:$P$31),6)-LOOKUP(AG18,'料率・等級表'!$O$25:$O$31,'料率・等級表'!$Q$25:$Q$31),-1))</f>
        <v/>
      </c>
    </row>
    <row r="19">
      <c r="A19" s="12" t="n">
        <v>10</v>
      </c>
      <c r="B19" s="13" t="n"/>
      <c r="C19" s="15" t="n"/>
      <c r="D19" s="15" t="n"/>
      <c r="E19" s="15" t="n"/>
      <c r="F19" s="15" t="n"/>
      <c r="G19" s="15" t="n"/>
      <c r="H19" s="16">
        <f>IF($B19="","",C19+D19+E19+F19)</f>
        <v/>
      </c>
      <c r="I19" s="16">
        <f>IF($B19="","",IF($Z19="○",ROUND(ROUND($V19*($C$24+$AB19*$C$25+IF($B$4&gt;='料率・等級表'!$M$7,$C$26,0))/2,4)-0.0001,0),0))</f>
        <v/>
      </c>
      <c r="J19" s="16">
        <f>IF($B19="","",IF($Z19="○",ROUND(ROUND($W19*$C$27/2,4)-0.0001,0),0))</f>
        <v/>
      </c>
      <c r="K19" s="16">
        <f>IF($B19="","",IF($AA19="○",ROUND(ROUND($H19*$C$28,4)-0.0001,0),0))</f>
        <v/>
      </c>
      <c r="L19" s="16">
        <f>IF($B19="","",I19+J19+K19)</f>
        <v/>
      </c>
      <c r="M19" s="16">
        <f>IF($B19="","",IF(N19&lt;&gt;"",N19,IF($Y19="乙",0,$AH19)))</f>
        <v/>
      </c>
      <c r="N19" s="15" t="n"/>
      <c r="O19" s="15" t="n"/>
      <c r="P19" s="15" t="n"/>
      <c r="Q19" s="16">
        <f>IF($B19="","",L19+M19+O19+P19)</f>
        <v/>
      </c>
      <c r="R19" s="16">
        <f>IF($B19="","",H19-Q19)</f>
        <v/>
      </c>
      <c r="S19" s="22">
        <f>IF($B19="","",IF(AND($Y19="乙",N19=""),"乙欄: 所得税を手入力してください",IF(AND($Z19="○",$V19=0),"標準報酬月額が未入力です",IF($H19=0,"支給額が未入力です",""))))</f>
        <v/>
      </c>
      <c r="T19" s="43" t="n"/>
      <c r="U19" s="14" t="n"/>
      <c r="V19" s="15" t="n"/>
      <c r="W19" s="16">
        <f>IF(V19="",0,MEDIAN('料率・等級表'!$M$9,V19,'料率・等級表'!$M$10))</f>
        <v/>
      </c>
      <c r="X19" s="17" t="n"/>
      <c r="Y19" s="6" t="n"/>
      <c r="Z19" s="6" t="n"/>
      <c r="AA19" s="6" t="n"/>
      <c r="AB19" s="26">
        <f>IF(OR($B19="",NOT(ISNUMBER($U19)),$Z19&lt;&gt;"○"),0,IF(AND($B$4&gt;=DATE(YEAR(EDATE($U19,480)-1),MONTH(EDATE($U19,480)-1),1),$B$4&lt;DATE(YEAR(EDATE($U19,780)-1),MONTH(EDATE($U19,780)-1),1)),1,0))</f>
        <v/>
      </c>
      <c r="AC19" s="16">
        <f>IF($B19="","",C19+D19+E19+MAX(0,F19-G19))</f>
        <v/>
      </c>
      <c r="AD19" s="16">
        <f>IF($B19="","",MAX(0,AC19-L19))</f>
        <v/>
      </c>
      <c r="AE19" s="16">
        <f>IF($B19="","",ROUNDUP(ROUND(AD19*LOOKUP(AD19,'料率・等級表'!$O$6:$O$10,'料率・等級表'!$P$6:$P$10)+LOOKUP(AD19,'料率・等級表'!$O$6:$O$10,'料率・等級表'!$Q$6:$Q$10),4),0))</f>
        <v/>
      </c>
      <c r="AF19" s="16">
        <f>IF($B19="","",LOOKUP(AD19,'料率・等級表'!$O$17:$O$21,'料率・等級表'!$P$17:$P$21))</f>
        <v/>
      </c>
      <c r="AG19" s="16">
        <f>IF($B19="","",MAX(0,AD19-AE19-'料率・等級表'!$P$13*X19-AF19))</f>
        <v/>
      </c>
      <c r="AH19" s="16">
        <f>IF($B19="","",ROUND(ROUND(AG19*LOOKUP(AG19,'料率・等級表'!$O$25:$O$31,'料率・等級表'!$P$25:$P$31),6)-LOOKUP(AG19,'料率・等級表'!$O$25:$O$31,'料率・等級表'!$Q$25:$Q$31),-1))</f>
        <v/>
      </c>
    </row>
    <row r="20">
      <c r="A20" s="47" t="inlineStr">
        <is>
          <t>合計</t>
        </is>
      </c>
      <c r="B20" s="27" t="n"/>
      <c r="C20" s="53">
        <f>SUM(C10:C19)</f>
        <v/>
      </c>
      <c r="D20" s="53">
        <f>SUM(D10:D19)</f>
        <v/>
      </c>
      <c r="E20" s="53">
        <f>SUM(E10:E19)</f>
        <v/>
      </c>
      <c r="F20" s="53">
        <f>SUM(F10:F19)</f>
        <v/>
      </c>
      <c r="G20" s="53">
        <f>SUM(G10:G19)</f>
        <v/>
      </c>
      <c r="H20" s="53">
        <f>SUM(H10:H19)</f>
        <v/>
      </c>
      <c r="I20" s="53">
        <f>SUM(I10:I19)</f>
        <v/>
      </c>
      <c r="J20" s="53">
        <f>SUM(J10:J19)</f>
        <v/>
      </c>
      <c r="K20" s="53">
        <f>SUM(K10:K19)</f>
        <v/>
      </c>
      <c r="L20" s="53">
        <f>SUM(L10:L19)</f>
        <v/>
      </c>
      <c r="M20" s="53">
        <f>SUM(M10:M19)</f>
        <v/>
      </c>
      <c r="N20" s="53">
        <f>SUM(N10:N19)</f>
        <v/>
      </c>
      <c r="O20" s="53">
        <f>SUM(O10:O19)</f>
        <v/>
      </c>
      <c r="P20" s="53">
        <f>SUM(P10:P19)</f>
        <v/>
      </c>
      <c r="Q20" s="53">
        <f>SUM(Q10:Q19)</f>
        <v/>
      </c>
      <c r="R20" s="53">
        <f>SUM(R10:R19)</f>
        <v/>
      </c>
      <c r="S20" s="27" t="n"/>
      <c r="T20" s="43" t="n"/>
      <c r="U20" s="43" t="n"/>
      <c r="V20" s="43" t="n"/>
      <c r="W20" s="43" t="n"/>
      <c r="X20" s="43" t="n"/>
      <c r="Y20" s="43" t="n"/>
      <c r="Z20" s="43" t="n"/>
      <c r="AA20" s="43" t="n"/>
      <c r="AB20" s="43" t="n"/>
      <c r="AC20" s="43" t="n"/>
      <c r="AD20" s="43" t="n"/>
      <c r="AE20" s="43" t="n"/>
      <c r="AF20" s="43" t="n"/>
      <c r="AG20" s="43" t="n"/>
      <c r="AH20" s="43" t="n"/>
    </row>
    <row r="21" ht="32" customHeight="1">
      <c r="A21" s="44" t="inlineStr">
        <is>
          <t>従業員Cは短時間パートの想定で、社会保険に加入していません（雇用保険のみ）。雇用保険料は 98,100円×0.5%＝490.5円で、50銭以下なので切り捨てて490円になります。</t>
        </is>
      </c>
      <c r="B21" s="43" t="n"/>
      <c r="C21" s="43" t="n"/>
      <c r="D21" s="43" t="n"/>
      <c r="E21" s="43" t="n"/>
      <c r="F21" s="43" t="n"/>
      <c r="G21" s="43" t="n"/>
      <c r="H21" s="43" t="n"/>
      <c r="I21" s="43" t="n"/>
      <c r="J21" s="43" t="n"/>
      <c r="K21" s="43" t="n"/>
      <c r="L21" s="43" t="n"/>
      <c r="M21" s="43" t="n"/>
      <c r="N21" s="43" t="n"/>
      <c r="O21" s="43" t="n"/>
      <c r="P21" s="43" t="n"/>
      <c r="Q21" s="43" t="n"/>
      <c r="R21" s="43" t="n"/>
      <c r="S21" s="43" t="n"/>
      <c r="T21" s="43" t="n"/>
      <c r="U21" s="43" t="n"/>
      <c r="V21" s="43" t="n"/>
      <c r="W21" s="43" t="n"/>
      <c r="X21" s="43" t="n"/>
      <c r="Y21" s="43" t="n"/>
      <c r="Z21" s="43" t="n"/>
      <c r="AA21" s="43" t="n"/>
      <c r="AB21" s="43" t="n"/>
      <c r="AC21" s="43" t="n"/>
      <c r="AD21" s="43" t="n"/>
      <c r="AE21" s="43" t="n"/>
      <c r="AF21" s="43" t="n"/>
      <c r="AG21" s="43" t="n"/>
      <c r="AH21" s="43" t="n"/>
    </row>
    <row r="22">
      <c r="A22" s="43" t="n"/>
      <c r="B22" s="43" t="n"/>
      <c r="C22" s="43" t="n"/>
      <c r="D22" s="43" t="n"/>
      <c r="E22" s="43" t="n"/>
      <c r="F22" s="43" t="n"/>
      <c r="G22" s="43" t="n"/>
      <c r="H22" s="43" t="n"/>
      <c r="I22" s="43" t="n"/>
      <c r="J22" s="43" t="n"/>
      <c r="K22" s="43" t="n"/>
      <c r="L22" s="43" t="n"/>
      <c r="M22" s="43" t="n"/>
      <c r="N22" s="43" t="n"/>
      <c r="O22" s="43" t="n"/>
      <c r="P22" s="43" t="n"/>
      <c r="Q22" s="43" t="n"/>
      <c r="R22" s="43" t="n"/>
      <c r="S22" s="43" t="n"/>
      <c r="T22" s="43" t="n"/>
      <c r="U22" s="43" t="n"/>
      <c r="V22" s="43" t="n"/>
      <c r="W22" s="43" t="n"/>
      <c r="X22" s="43" t="n"/>
      <c r="Y22" s="43" t="n"/>
      <c r="Z22" s="43" t="n"/>
      <c r="AA22" s="43" t="n"/>
      <c r="AB22" s="43" t="n"/>
      <c r="AC22" s="43" t="n"/>
      <c r="AD22" s="43" t="n"/>
      <c r="AE22" s="43" t="n"/>
      <c r="AF22" s="43" t="n"/>
      <c r="AG22" s="43" t="n"/>
      <c r="AH22" s="43" t="n"/>
    </row>
    <row r="23">
      <c r="A23" s="46" t="inlineStr">
        <is>
          <t>この記入例の前提（数値は「料率・等級表」から引いた固定の参照）</t>
        </is>
      </c>
      <c r="B23" s="43" t="n"/>
      <c r="C23" s="43" t="n"/>
      <c r="D23" s="43" t="n"/>
      <c r="E23" s="43" t="n"/>
      <c r="F23" s="43" t="n"/>
      <c r="G23" s="43" t="n"/>
      <c r="H23" s="43" t="n"/>
      <c r="I23" s="43" t="n"/>
      <c r="J23" s="43" t="n"/>
      <c r="K23" s="43" t="n"/>
      <c r="L23" s="43" t="n"/>
      <c r="M23" s="43" t="n"/>
      <c r="N23" s="43" t="n"/>
      <c r="O23" s="43" t="n"/>
      <c r="P23" s="43" t="n"/>
      <c r="Q23" s="43" t="n"/>
      <c r="R23" s="43" t="n"/>
      <c r="S23" s="43" t="n"/>
      <c r="T23" s="43" t="n"/>
      <c r="U23" s="43" t="n"/>
      <c r="V23" s="43" t="n"/>
      <c r="W23" s="43" t="n"/>
      <c r="X23" s="43" t="n"/>
      <c r="Y23" s="43" t="n"/>
      <c r="Z23" s="43" t="n"/>
      <c r="AA23" s="43" t="n"/>
      <c r="AB23" s="43" t="n"/>
      <c r="AC23" s="43" t="n"/>
      <c r="AD23" s="43" t="n"/>
      <c r="AE23" s="43" t="n"/>
      <c r="AF23" s="43" t="n"/>
      <c r="AG23" s="43" t="n"/>
      <c r="AH23" s="43" t="n"/>
    </row>
    <row r="24">
      <c r="A24" s="45" t="inlineStr">
        <is>
          <t>健康保険料率</t>
        </is>
      </c>
      <c r="B24" s="51" t="n"/>
      <c r="C24" s="9">
        <f>INDEX('料率・等級表'!$C$5:$C$51,MATCH("東京都",'料率・等級表'!$A$5:$A$51,0))/100</f>
        <v/>
      </c>
      <c r="D24" s="43" t="n"/>
      <c r="E24" s="43" t="n"/>
      <c r="F24" s="43" t="n"/>
      <c r="G24" s="43" t="n"/>
      <c r="H24" s="43" t="n"/>
      <c r="I24" s="43" t="n"/>
      <c r="J24" s="43" t="n"/>
      <c r="K24" s="43" t="n"/>
      <c r="L24" s="43" t="n"/>
      <c r="M24" s="43" t="n"/>
      <c r="N24" s="43" t="n"/>
      <c r="O24" s="43" t="n"/>
      <c r="P24" s="43" t="n"/>
      <c r="Q24" s="43" t="n"/>
      <c r="R24" s="43" t="n"/>
      <c r="S24" s="43" t="n"/>
      <c r="T24" s="43" t="n"/>
      <c r="U24" s="43" t="n"/>
      <c r="V24" s="43" t="n"/>
      <c r="W24" s="43" t="n"/>
      <c r="X24" s="43" t="n"/>
      <c r="Y24" s="43" t="n"/>
      <c r="Z24" s="43" t="n"/>
      <c r="AA24" s="43" t="n"/>
      <c r="AB24" s="43" t="n"/>
      <c r="AC24" s="43" t="n"/>
      <c r="AD24" s="43" t="n"/>
      <c r="AE24" s="43" t="n"/>
      <c r="AF24" s="43" t="n"/>
      <c r="AG24" s="43" t="n"/>
      <c r="AH24" s="43" t="n"/>
    </row>
    <row r="25">
      <c r="A25" s="45" t="inlineStr">
        <is>
          <t>介護保険料率</t>
        </is>
      </c>
      <c r="B25" s="51" t="n"/>
      <c r="C25" s="9">
        <f>'料率・等級表'!$M$5</f>
        <v/>
      </c>
      <c r="D25" s="43" t="n"/>
      <c r="E25" s="43" t="n"/>
      <c r="F25" s="43" t="n"/>
      <c r="G25" s="43" t="n"/>
      <c r="H25" s="43" t="n"/>
      <c r="I25" s="43" t="n"/>
      <c r="J25" s="43" t="n"/>
      <c r="K25" s="43" t="n"/>
      <c r="L25" s="43" t="n"/>
      <c r="M25" s="43" t="n"/>
      <c r="N25" s="43" t="n"/>
      <c r="O25" s="43" t="n"/>
      <c r="P25" s="43" t="n"/>
      <c r="Q25" s="43" t="n"/>
      <c r="R25" s="43" t="n"/>
      <c r="S25" s="43" t="n"/>
      <c r="T25" s="43" t="n"/>
      <c r="U25" s="43" t="n"/>
      <c r="V25" s="43" t="n"/>
      <c r="W25" s="43" t="n"/>
      <c r="X25" s="43" t="n"/>
      <c r="Y25" s="43" t="n"/>
      <c r="Z25" s="43" t="n"/>
      <c r="AA25" s="43" t="n"/>
      <c r="AB25" s="43" t="n"/>
      <c r="AC25" s="43" t="n"/>
      <c r="AD25" s="43" t="n"/>
      <c r="AE25" s="43" t="n"/>
      <c r="AF25" s="43" t="n"/>
      <c r="AG25" s="43" t="n"/>
      <c r="AH25" s="43" t="n"/>
    </row>
    <row r="26">
      <c r="A26" s="45" t="inlineStr">
        <is>
          <t>子ども・子育て支援金率</t>
        </is>
      </c>
      <c r="B26" s="51" t="n"/>
      <c r="C26" s="9">
        <f>'料率・等級表'!$M$6</f>
        <v/>
      </c>
      <c r="D26" s="43" t="n"/>
      <c r="E26" s="43" t="n"/>
      <c r="F26" s="43" t="n"/>
      <c r="G26" s="43" t="n"/>
      <c r="H26" s="43" t="n"/>
      <c r="I26" s="43" t="n"/>
      <c r="J26" s="43" t="n"/>
      <c r="K26" s="43" t="n"/>
      <c r="L26" s="43" t="n"/>
      <c r="M26" s="43" t="n"/>
      <c r="N26" s="43" t="n"/>
      <c r="O26" s="43" t="n"/>
      <c r="P26" s="43" t="n"/>
      <c r="Q26" s="43" t="n"/>
      <c r="R26" s="43" t="n"/>
      <c r="S26" s="43" t="n"/>
      <c r="T26" s="43" t="n"/>
      <c r="U26" s="43" t="n"/>
      <c r="V26" s="43" t="n"/>
      <c r="W26" s="43" t="n"/>
      <c r="X26" s="43" t="n"/>
      <c r="Y26" s="43" t="n"/>
      <c r="Z26" s="43" t="n"/>
      <c r="AA26" s="43" t="n"/>
      <c r="AB26" s="43" t="n"/>
      <c r="AC26" s="43" t="n"/>
      <c r="AD26" s="43" t="n"/>
      <c r="AE26" s="43" t="n"/>
      <c r="AF26" s="43" t="n"/>
      <c r="AG26" s="43" t="n"/>
      <c r="AH26" s="43" t="n"/>
    </row>
    <row r="27">
      <c r="A27" s="45" t="inlineStr">
        <is>
          <t>厚生年金保険料率</t>
        </is>
      </c>
      <c r="B27" s="51" t="n"/>
      <c r="C27" s="10">
        <f>'料率・等級表'!$M$8</f>
        <v/>
      </c>
      <c r="D27" s="43" t="n"/>
      <c r="E27" s="43" t="n"/>
      <c r="F27" s="43" t="n"/>
      <c r="G27" s="43" t="n"/>
      <c r="H27" s="43" t="n"/>
      <c r="I27" s="43" t="n"/>
      <c r="J27" s="43" t="n"/>
      <c r="K27" s="43" t="n"/>
      <c r="L27" s="43" t="n"/>
      <c r="M27" s="43" t="n"/>
      <c r="N27" s="43" t="n"/>
      <c r="O27" s="43" t="n"/>
      <c r="P27" s="43" t="n"/>
      <c r="Q27" s="43" t="n"/>
      <c r="R27" s="43" t="n"/>
      <c r="S27" s="43" t="n"/>
      <c r="T27" s="43" t="n"/>
      <c r="U27" s="43" t="n"/>
      <c r="V27" s="43" t="n"/>
      <c r="W27" s="43" t="n"/>
      <c r="X27" s="43" t="n"/>
      <c r="Y27" s="43" t="n"/>
      <c r="Z27" s="43" t="n"/>
      <c r="AA27" s="43" t="n"/>
      <c r="AB27" s="43" t="n"/>
      <c r="AC27" s="43" t="n"/>
      <c r="AD27" s="43" t="n"/>
      <c r="AE27" s="43" t="n"/>
      <c r="AF27" s="43" t="n"/>
      <c r="AG27" s="43" t="n"/>
      <c r="AH27" s="43" t="n"/>
    </row>
    <row r="28">
      <c r="A28" s="45" t="inlineStr">
        <is>
          <t>雇用保険料率（一般の事業・本人）</t>
        </is>
      </c>
      <c r="B28" s="51" t="n"/>
      <c r="C28" s="11">
        <f>INDEX('料率・等級表'!$M$19:$M$21,MATCH("一般の事業",'料率・等級表'!$L$19:$L$21,0))</f>
        <v/>
      </c>
      <c r="D28" s="43" t="n"/>
      <c r="E28" s="43" t="n"/>
      <c r="F28" s="43" t="n"/>
      <c r="G28" s="43" t="n"/>
      <c r="H28" s="43" t="n"/>
      <c r="I28" s="43" t="n"/>
      <c r="J28" s="43" t="n"/>
      <c r="K28" s="43" t="n"/>
      <c r="L28" s="43" t="n"/>
      <c r="M28" s="43" t="n"/>
      <c r="N28" s="43" t="n"/>
      <c r="O28" s="43" t="n"/>
      <c r="P28" s="43" t="n"/>
      <c r="Q28" s="43" t="n"/>
      <c r="R28" s="43" t="n"/>
      <c r="S28" s="43" t="n"/>
      <c r="T28" s="43" t="n"/>
      <c r="U28" s="43" t="n"/>
      <c r="V28" s="43" t="n"/>
      <c r="W28" s="43" t="n"/>
      <c r="X28" s="43" t="n"/>
      <c r="Y28" s="43" t="n"/>
      <c r="Z28" s="43" t="n"/>
      <c r="AA28" s="43" t="n"/>
      <c r="AB28" s="43" t="n"/>
      <c r="AC28" s="43" t="n"/>
      <c r="AD28" s="43" t="n"/>
      <c r="AE28" s="43" t="n"/>
      <c r="AF28" s="43" t="n"/>
      <c r="AG28" s="43" t="n"/>
      <c r="AH28" s="43" t="n"/>
    </row>
    <row r="29">
      <c r="A29" s="45" t="inlineStr">
        <is>
          <t>社会保険料の控除のしかた</t>
        </is>
      </c>
      <c r="B29" s="51" t="n"/>
      <c r="C29" s="12" t="inlineStr">
        <is>
          <t>前月分を当月の給与から控除</t>
        </is>
      </c>
      <c r="D29" s="50" t="n"/>
      <c r="E29" s="50" t="n"/>
      <c r="F29" s="51" t="n"/>
      <c r="G29" s="43" t="n"/>
      <c r="H29" s="43" t="n"/>
      <c r="I29" s="43" t="n"/>
      <c r="J29" s="43" t="n"/>
      <c r="K29" s="43" t="n"/>
      <c r="L29" s="43" t="n"/>
      <c r="M29" s="43" t="n"/>
      <c r="N29" s="43" t="n"/>
      <c r="O29" s="43" t="n"/>
      <c r="P29" s="43" t="n"/>
      <c r="Q29" s="43" t="n"/>
      <c r="R29" s="43" t="n"/>
      <c r="S29" s="43" t="n"/>
      <c r="T29" s="43" t="n"/>
      <c r="U29" s="43" t="n"/>
      <c r="V29" s="43" t="n"/>
      <c r="W29" s="43" t="n"/>
      <c r="X29" s="43" t="n"/>
      <c r="Y29" s="43" t="n"/>
      <c r="Z29" s="43" t="n"/>
      <c r="AA29" s="43" t="n"/>
      <c r="AB29" s="43" t="n"/>
      <c r="AC29" s="43" t="n"/>
      <c r="AD29" s="43" t="n"/>
      <c r="AE29" s="43" t="n"/>
      <c r="AF29" s="43" t="n"/>
      <c r="AG29" s="43" t="n"/>
      <c r="AH29" s="43" t="n"/>
    </row>
  </sheetData>
  <mergeCells count="16">
    <mergeCell ref="B6:S6"/>
    <mergeCell ref="A26:B26"/>
    <mergeCell ref="A24:B24"/>
    <mergeCell ref="A29:B29"/>
    <mergeCell ref="C3:S3"/>
    <mergeCell ref="A23:S23"/>
    <mergeCell ref="A25:B25"/>
    <mergeCell ref="B5:S5"/>
    <mergeCell ref="U8:AH8"/>
    <mergeCell ref="C4:S4"/>
    <mergeCell ref="A1:S1"/>
    <mergeCell ref="A28:B28"/>
    <mergeCell ref="C29:F29"/>
    <mergeCell ref="A21:S21"/>
    <mergeCell ref="A27:B27"/>
    <mergeCell ref="A2:S2"/>
  </mergeCells>
  <dataValidations count="2">
    <dataValidation sqref="Z10:AA19" showDropDown="0" showInputMessage="0" showErrorMessage="0" allowBlank="0" type="list">
      <formula1>"○,×"</formula1>
    </dataValidation>
    <dataValidation sqref="Y10:Y19" showDropDown="0" showInputMessage="0" showErrorMessage="0" allowBlank="0" type="list">
      <formula1>"甲,乙"</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A39"/>
  <sheetViews>
    <sheetView showGridLines="0" workbookViewId="0">
      <selection activeCell="A1" sqref="A1"/>
    </sheetView>
  </sheetViews>
  <sheetFormatPr baseColWidth="8" defaultRowHeight="15"/>
  <cols>
    <col width="120" customWidth="1" min="1" max="1"/>
  </cols>
  <sheetData>
    <row r="1">
      <c r="A1" s="42" t="inlineStr">
        <is>
          <t>使い方</t>
        </is>
      </c>
    </row>
    <row r="2" ht="22" customHeight="1">
      <c r="A2" s="46" t="inlineStr">
        <is>
          <t>このシートでできること</t>
        </is>
      </c>
    </row>
    <row r="3" ht="36" customHeight="1">
      <c r="A3" s="56" t="inlineStr">
        <is>
          <t>従業員10名までの月次の給与計算（総支給額・社会保険料・雇用保険料・源泉所得税・住民税・差引支給額）と、月別・年間の給与台帳。令和8年度（2026年度）の料率と、令和8年分（2026年中の支払）の源泉所得税の算式で計算します。</t>
        </is>
      </c>
    </row>
    <row r="4" ht="22" customHeight="1">
      <c r="A4" s="46" t="inlineStr">
        <is>
          <t>最初に1回</t>
        </is>
      </c>
    </row>
    <row r="5" ht="20" customHeight="1">
      <c r="A5" s="56" t="inlineStr">
        <is>
          <t>1. 「設定」シートで、事業の種類・事業所の所在地・社会保険料の控除のしかたを選ぶ</t>
        </is>
      </c>
    </row>
    <row r="6" ht="20" customHeight="1">
      <c r="A6" s="56" t="inlineStr">
        <is>
          <t>2. 「従業員マスタ」に、氏名・生年月日・標準報酬月額・扶養親族等の数・住民税（月額）を入れる</t>
        </is>
      </c>
    </row>
    <row r="7" ht="20" customHeight="1">
      <c r="A7" s="56" t="inlineStr">
        <is>
          <t>3. 標準報酬月額は、標準報酬月額決定通知書の額。社会保険に入っていない人は「社会保険加入」を×にする</t>
        </is>
      </c>
    </row>
    <row r="8" ht="22" customHeight="1">
      <c r="A8" s="46" t="inlineStr">
        <is>
          <t>毎月の手順</t>
        </is>
      </c>
    </row>
    <row r="9" ht="20" customHeight="1">
      <c r="A9" s="56" t="inlineStr">
        <is>
          <t>1. 「月次計算」シートを残したままコピーする（シート見出しを右クリック→移動またはコピー→コピーを作成する）</t>
        </is>
      </c>
    </row>
    <row r="10" ht="20" customHeight="1">
      <c r="A10" s="56" t="inlineStr">
        <is>
          <t>2. コピーしたシートの名前を、支給年月に合わせて「2026-10」のように半角で付ける</t>
        </is>
      </c>
    </row>
    <row r="11" ht="20" customHeight="1">
      <c r="A11" s="56" t="inlineStr">
        <is>
          <t>3. B3の支給年月を直し、基本給・残業手当・諸手当・通勤手当を入れる。残業手当や欠勤の控除は別の表で計算した額を入れる</t>
        </is>
      </c>
    </row>
    <row r="12" ht="20" customHeight="1">
      <c r="A12" s="56" t="inlineStr">
        <is>
          <t>4. 右端の「確認」列に文字が出ていないことを見て、差引支給額を給与明細に写す</t>
        </is>
      </c>
    </row>
    <row r="13" ht="20" customHeight="1">
      <c r="A13" s="56" t="inlineStr">
        <is>
          <t>5. 「給与台帳」シートの従業員Noを切り替えると、その人の月別・年間累計が出る</t>
        </is>
      </c>
    </row>
    <row r="14" ht="20" customHeight="1">
      <c r="A14" s="56" t="inlineStr">
        <is>
          <t>6. 給与を確定したら、その月のシートを全体選択→コピー→「値のみ貼り付け」で数式を値に変えておく</t>
        </is>
      </c>
    </row>
    <row r="15" ht="22" customHeight="1">
      <c r="A15" s="46" t="inlineStr">
        <is>
          <t>年に1回・料率が変わったとき</t>
        </is>
      </c>
    </row>
    <row r="16" ht="36" customHeight="1">
      <c r="A16" s="56" t="inlineStr">
        <is>
          <t>・健康保険料率と介護保険料率は毎年3月分（4月納付分）から、雇用保険料率は毎年4月から改定される。「料率・等級表」を出典の最新値に書き換える</t>
        </is>
      </c>
    </row>
    <row r="17" ht="20" customHeight="1">
      <c r="A17" s="56" t="inlineStr">
        <is>
          <t>・7月に届く定時決定の通知書で標準報酬月額が変わる。9月分から使うので、従業員マスタの標準報酬月額を書き換える</t>
        </is>
      </c>
    </row>
    <row r="18" ht="36" customHeight="1">
      <c r="A18" s="56" t="inlineStr">
        <is>
          <t>・源泉徴収税額表は、基礎控除と給与所得控除の引上げに伴い令和9年分（2027年）以後の分が改正されている（国税庁）。2027年1月に支払う給与からは、国税庁の令和9年分の「電算機計算の特例」で「料率・等級表」の第1〜4表を書き換える</t>
        </is>
      </c>
    </row>
    <row r="19" ht="36" customHeight="1">
      <c r="A19" s="56" t="inlineStr">
        <is>
          <t>・2026年12月1日以後に支払う給与から、扶養親族等の所得要件が変わる（国税庁）。新しく要件に当てはまる家族がいる人は扶養控除等申告書の出し直しが要るので、従業員マスタの扶養親族等の数を見直す</t>
        </is>
      </c>
    </row>
    <row r="20" ht="20" customHeight="1">
      <c r="A20" s="56" t="inlineStr">
        <is>
          <t>・年末調整・賞与・住民税の切り替え（6月）は、このシートでは計算しない</t>
        </is>
      </c>
    </row>
    <row r="21" ht="22" customHeight="1">
      <c r="A21" s="46" t="inlineStr">
        <is>
          <t>計算のしくみ</t>
        </is>
      </c>
    </row>
    <row r="22" ht="20" customHeight="1">
      <c r="A22" s="56" t="inlineStr">
        <is>
          <t>・健康保険料・介護保険料・子ども・子育て支援金: 標準報酬月額×（健保率＋介護率＋支援金率）÷2。総支給額には掛けない</t>
        </is>
      </c>
    </row>
    <row r="23" ht="20" customHeight="1">
      <c r="A23" s="56" t="inlineStr">
        <is>
          <t>・厚生年金保険料: 標準報酬月額（88,000円〜650,000円）×18.3%÷2</t>
        </is>
      </c>
    </row>
    <row r="24" ht="20" customHeight="1">
      <c r="A24" s="56" t="inlineStr">
        <is>
          <t>・雇用保険料: 総支給額（通勤手当を含む）×本人負担率</t>
        </is>
      </c>
    </row>
    <row r="25" ht="20" customHeight="1">
      <c r="A25" s="56" t="inlineStr">
        <is>
          <t>・介護保険料: 40歳の誕生日の前日が属する月分から、65歳の誕生日の前日が属する月の前月分まで</t>
        </is>
      </c>
    </row>
    <row r="26" ht="20" customHeight="1">
      <c r="A26" s="56" t="inlineStr">
        <is>
          <t>・端数: 本人負担分は50銭以下切り捨て、50銭を超えたら切り上げ</t>
        </is>
      </c>
    </row>
    <row r="27" ht="36" customHeight="1">
      <c r="A27" s="56" t="inlineStr">
        <is>
          <t>・所得税: 課税される支給額から社会保険料等を引いた額（社保控除後の給与）を出す。そこから給与所得控除・31,667円×扶養親族等の数・基礎控除を引いて課税給与所得金額を出し、率を掛けて定数を引く</t>
        </is>
      </c>
    </row>
    <row r="28" ht="22" customHeight="1">
      <c r="A28" s="46" t="inlineStr">
        <is>
          <t>このシートで扱わないもの（手計算が要ります）</t>
        </is>
      </c>
    </row>
    <row r="29" ht="52" customHeight="1">
      <c r="A29" s="56" t="inlineStr">
        <is>
          <t>賞与／年末調整／乙欄（税額を手入力）／日割り計算・欠勤控除・入社退職月の社会保険料／産休・育休中の保険料免除／複数事業所での勤務／70歳・75歳到達による資格喪失／健康保険組合独自の率／労働保険の年度更新／社会保険料の遡及訂正／マイカー通勤の非課税限度額の判定</t>
        </is>
      </c>
    </row>
    <row r="30" ht="22" customHeight="1">
      <c r="A30" s="46" t="inlineStr">
        <is>
          <t>出典（確認日 2026-09-30）</t>
        </is>
      </c>
    </row>
    <row r="31" ht="36" customHeight="1">
      <c r="A31" s="56" t="inlineStr">
        <is>
          <t>・健康保険料率（都道府県別）: 協会けんぽ 令和8年度都道府県単位保険料率　https://www.kyoukaikenpo.or.jp/about/business/insurance_rate/rate_prefectures/r08/</t>
        </is>
      </c>
    </row>
    <row r="32" ht="36" customHeight="1">
      <c r="A32" s="56" t="inlineStr">
        <is>
          <t>・標準報酬月額の等級表: 協会けんぽ 令和8年3月分からの保険料額表（東京支部）　https://www.kyoukaikenpo.or.jp/assets/R8_13tokyo.pdf</t>
        </is>
      </c>
    </row>
    <row r="33" ht="36" customHeight="1">
      <c r="A33" s="56" t="inlineStr">
        <is>
          <t>・子ども・子育て支援金率: 協会けんぽ 子ども・子育て支援金率について　https://www.kyoukaikenpo.or.jp/about/business/insurance_rate/003/index.html</t>
        </is>
      </c>
    </row>
    <row r="34" ht="36" customHeight="1">
      <c r="A34" s="56" t="inlineStr">
        <is>
          <t>・介護保険料率: 協会けんぽ 介護保険料率について　https://www.kyoukaikenpo.or.jp/about/business/insurance_rate/002/index.html</t>
        </is>
      </c>
    </row>
    <row r="35" ht="36" customHeight="1">
      <c r="A35" s="56" t="inlineStr">
        <is>
          <t>・厚生年金保険料率: 日本年金機構 厚生年金保険料額表　https://www.nenkin.go.jp/service/kounen/hokenryo/ryogaku/ryogakuhyo/index.html</t>
        </is>
      </c>
    </row>
    <row r="36" ht="36" customHeight="1">
      <c r="A36" s="56" t="inlineStr">
        <is>
          <t>・雇用保険料率: 厚生労働省 令和8年度雇用保険料率のご案内　https://www.mhlw.go.jp/content/001692566.pdf</t>
        </is>
      </c>
    </row>
    <row r="37" ht="52" customHeight="1">
      <c r="A37" s="56" t="inlineStr">
        <is>
          <t>・源泉所得税（電算機計算の特例）: 国税庁 月額表の甲欄を適用する給与等に対する税額の電算機計算の特例について（令和8年分）　https://www.nta.go.jp/publication/pamph/gensen/zeigakuhyo2026/data/denshi_01.pdf</t>
        </is>
      </c>
    </row>
    <row r="38" ht="36" customHeight="1">
      <c r="A38" s="56" t="inlineStr">
        <is>
          <t>・介護保険の資格取得・喪失の月: 協会けんぽ 茨城支部「介護保険制度と介護保険料について」https://www.kyoukaikenpo.or.jp/shibu/ibaraki/public_relations/009/index.html</t>
        </is>
      </c>
    </row>
    <row r="39" ht="36" customHeight="1">
      <c r="A39" s="56" t="inlineStr">
        <is>
          <t>・社会保険料の控除: 健康保険法第167条（e-Gov法令検索）https://laws.e-gov.go.jp/law/211AC0000000070</t>
        </is>
      </c>
    </row>
  </sheetData>
  <mergeCells count="1">
    <mergeCell ref="A1"/>
  </mergeCell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Q64"/>
  <sheetViews>
    <sheetView showGridLines="0" workbookViewId="0">
      <pane ySplit="4" topLeftCell="A5" activePane="bottomLeft" state="frozen"/>
      <selection pane="bottomLeft" activeCell="A1" sqref="A1"/>
    </sheetView>
  </sheetViews>
  <sheetFormatPr baseColWidth="8" defaultRowHeight="15"/>
  <cols>
    <col width="14" customWidth="1" min="1" max="1"/>
    <col width="14" customWidth="1" min="2" max="2"/>
    <col width="14" customWidth="1" min="3" max="3"/>
    <col width="3" customWidth="1" min="4" max="4"/>
    <col width="3" customWidth="1" min="5" max="5"/>
    <col width="10" customWidth="1" min="6" max="6"/>
    <col width="10" customWidth="1" min="7" max="7"/>
    <col width="16" customWidth="1" min="8" max="8"/>
    <col width="16" customWidth="1" min="9" max="9"/>
    <col width="16" customWidth="1" min="10" max="10"/>
    <col width="3" customWidth="1" min="11" max="11"/>
    <col width="46" customWidth="1" min="12" max="12"/>
    <col width="16" customWidth="1" min="13" max="13"/>
    <col width="3" customWidth="1" min="14" max="14"/>
    <col width="26" customWidth="1" min="15" max="15"/>
    <col width="12" customWidth="1" min="16" max="16"/>
    <col width="12" customWidth="1" min="17" max="17"/>
  </cols>
  <sheetData>
    <row r="1">
      <c r="A1" s="42" t="inlineStr">
        <is>
          <t>料率・等級表（令和8年度・令和8年分）</t>
        </is>
      </c>
      <c r="B1" s="43" t="n"/>
      <c r="C1" s="43" t="n"/>
      <c r="D1" s="43" t="n"/>
      <c r="E1" s="43" t="n"/>
      <c r="F1" s="43" t="n"/>
      <c r="G1" s="43" t="n"/>
      <c r="H1" s="43" t="n"/>
      <c r="I1" s="43" t="n"/>
      <c r="J1" s="43" t="n"/>
      <c r="K1" s="43" t="n"/>
      <c r="L1" s="43" t="n"/>
      <c r="M1" s="43" t="n"/>
      <c r="N1" s="43" t="n"/>
      <c r="O1" s="43" t="n"/>
      <c r="P1" s="43" t="n"/>
      <c r="Q1" s="43" t="n"/>
    </row>
    <row r="2" ht="28" customHeight="1">
      <c r="A2" s="44" t="inlineStr">
        <is>
          <t>確認日 2026-09-30。ふだんは触りません。料率や税額の算式が変わったときだけ、この表を書き換えます（書き換え方は「使い方」シート）。出典は最下部にあります。</t>
        </is>
      </c>
      <c r="B2" s="43" t="n"/>
      <c r="C2" s="43" t="n"/>
      <c r="D2" s="43" t="n"/>
      <c r="E2" s="43" t="n"/>
      <c r="F2" s="43" t="n"/>
      <c r="G2" s="43" t="n"/>
      <c r="H2" s="43" t="n"/>
      <c r="I2" s="43" t="n"/>
      <c r="J2" s="43" t="n"/>
      <c r="K2" s="43" t="n"/>
      <c r="L2" s="43" t="n"/>
      <c r="M2" s="43" t="n"/>
      <c r="N2" s="43" t="n"/>
      <c r="O2" s="43" t="n"/>
      <c r="P2" s="43" t="n"/>
      <c r="Q2" s="43" t="n"/>
    </row>
    <row r="3">
      <c r="A3" s="43" t="n"/>
      <c r="B3" s="43" t="n"/>
      <c r="C3" s="43" t="n"/>
      <c r="D3" s="43" t="n"/>
      <c r="E3" s="43" t="n"/>
      <c r="F3" s="43" t="n"/>
      <c r="G3" s="43" t="n"/>
      <c r="H3" s="43" t="n"/>
      <c r="I3" s="43" t="n"/>
      <c r="J3" s="43" t="n"/>
      <c r="K3" s="43" t="n"/>
      <c r="L3" s="43" t="n"/>
      <c r="M3" s="43" t="n"/>
      <c r="N3" s="43" t="n"/>
      <c r="O3" s="46" t="inlineStr">
        <is>
          <t>源泉所得税・電算機計算の特例（甲欄・令和8年分）</t>
        </is>
      </c>
      <c r="P3" s="43" t="n"/>
      <c r="Q3" s="43" t="n"/>
    </row>
    <row r="4" ht="30" customHeight="1">
      <c r="A4" s="4" t="inlineStr">
        <is>
          <t>都道府県</t>
        </is>
      </c>
      <c r="B4" s="4" t="inlineStr">
        <is>
          <t>令和7年度
（参考）</t>
        </is>
      </c>
      <c r="C4" s="4" t="inlineStr">
        <is>
          <t>令和8年度
健康保険料率</t>
        </is>
      </c>
      <c r="D4" s="43" t="n"/>
      <c r="E4" s="43" t="n"/>
      <c r="F4" s="4" t="inlineStr">
        <is>
          <t>健保
等級</t>
        </is>
      </c>
      <c r="G4" s="4" t="inlineStr">
        <is>
          <t>厚年
等級</t>
        </is>
      </c>
      <c r="H4" s="4" t="inlineStr">
        <is>
          <t>標準報酬月額</t>
        </is>
      </c>
      <c r="I4" s="4" t="inlineStr">
        <is>
          <t>報酬月額
（以上）</t>
        </is>
      </c>
      <c r="J4" s="4" t="inlineStr">
        <is>
          <t>報酬月額
（未満）</t>
        </is>
      </c>
      <c r="K4" s="43" t="n"/>
      <c r="L4" s="4" t="inlineStr">
        <is>
          <t>項目</t>
        </is>
      </c>
      <c r="M4" s="4" t="inlineStr">
        <is>
          <t>値</t>
        </is>
      </c>
      <c r="N4" s="43" t="n"/>
      <c r="O4" s="4" t="inlineStr">
        <is>
          <t>第1表 給与所得控除</t>
        </is>
      </c>
      <c r="P4" s="50" t="n"/>
      <c r="Q4" s="51" t="n"/>
    </row>
    <row r="5">
      <c r="A5" s="12" t="inlineStr">
        <is>
          <t>北海道</t>
        </is>
      </c>
      <c r="B5" s="57" t="n">
        <v>10.31</v>
      </c>
      <c r="C5" s="57" t="n">
        <v>10.28</v>
      </c>
      <c r="D5" s="43" t="n"/>
      <c r="E5" s="43" t="n"/>
      <c r="F5" s="12" t="n">
        <v>1</v>
      </c>
      <c r="G5" s="12" t="inlineStr"/>
      <c r="H5" s="16" t="n">
        <v>58000</v>
      </c>
      <c r="I5" s="16" t="n">
        <v>0</v>
      </c>
      <c r="J5" s="16" t="n">
        <v>63000</v>
      </c>
      <c r="K5" s="43" t="n"/>
      <c r="L5" s="21" t="inlineStr">
        <is>
          <t>介護保険料率（40歳から64歳・全国一律）</t>
        </is>
      </c>
      <c r="M5" s="35" t="n">
        <v>0.0162</v>
      </c>
      <c r="N5" s="43" t="n"/>
      <c r="O5" s="47" t="inlineStr">
        <is>
          <t>社保控除後の給与の下限（円）</t>
        </is>
      </c>
      <c r="P5" s="47" t="inlineStr">
        <is>
          <t>率</t>
        </is>
      </c>
      <c r="Q5" s="47" t="inlineStr">
        <is>
          <t>定数（円）</t>
        </is>
      </c>
    </row>
    <row r="6">
      <c r="A6" s="12" t="inlineStr">
        <is>
          <t>青森県</t>
        </is>
      </c>
      <c r="B6" s="57" t="n">
        <v>9.85</v>
      </c>
      <c r="C6" s="57" t="n">
        <v>9.85</v>
      </c>
      <c r="D6" s="43" t="n"/>
      <c r="E6" s="43" t="n"/>
      <c r="F6" s="12" t="n">
        <v>2</v>
      </c>
      <c r="G6" s="12" t="inlineStr"/>
      <c r="H6" s="16" t="n">
        <v>68000</v>
      </c>
      <c r="I6" s="16" t="n">
        <v>63000</v>
      </c>
      <c r="J6" s="16" t="n">
        <v>73000</v>
      </c>
      <c r="K6" s="43" t="n"/>
      <c r="L6" s="21" t="inlineStr">
        <is>
          <t>子ども・子育て支援金率（全国一律）</t>
        </is>
      </c>
      <c r="M6" s="35" t="n">
        <v>0.0023</v>
      </c>
      <c r="N6" s="43" t="n"/>
      <c r="O6" s="16" t="n">
        <v>0</v>
      </c>
      <c r="P6" s="36" t="n">
        <v>0</v>
      </c>
      <c r="Q6" s="16" t="n">
        <v>54167</v>
      </c>
    </row>
    <row r="7">
      <c r="A7" s="12" t="inlineStr">
        <is>
          <t>岩手県</t>
        </is>
      </c>
      <c r="B7" s="57" t="n">
        <v>9.619999999999999</v>
      </c>
      <c r="C7" s="57" t="n">
        <v>9.51</v>
      </c>
      <c r="D7" s="43" t="n"/>
      <c r="E7" s="43" t="n"/>
      <c r="F7" s="12" t="n">
        <v>3</v>
      </c>
      <c r="G7" s="12" t="inlineStr"/>
      <c r="H7" s="16" t="n">
        <v>78000</v>
      </c>
      <c r="I7" s="16" t="n">
        <v>73000</v>
      </c>
      <c r="J7" s="16" t="n">
        <v>83000</v>
      </c>
      <c r="K7" s="43" t="n"/>
      <c r="L7" s="21" t="inlineStr">
        <is>
          <t>支援金が加わる最初の保険料の対象年月</t>
        </is>
      </c>
      <c r="M7" s="58" t="n">
        <v>46113</v>
      </c>
      <c r="N7" s="43" t="n"/>
      <c r="O7" s="16" t="n">
        <v>158334</v>
      </c>
      <c r="P7" s="36" t="n">
        <v>0.3</v>
      </c>
      <c r="Q7" s="16" t="n">
        <v>6667</v>
      </c>
    </row>
    <row r="8">
      <c r="A8" s="12" t="inlineStr">
        <is>
          <t>宮城県</t>
        </is>
      </c>
      <c r="B8" s="57" t="n">
        <v>10.11</v>
      </c>
      <c r="C8" s="57" t="n">
        <v>10.1</v>
      </c>
      <c r="D8" s="43" t="n"/>
      <c r="E8" s="43" t="n"/>
      <c r="F8" s="12" t="n">
        <v>4</v>
      </c>
      <c r="G8" s="12" t="n">
        <v>1</v>
      </c>
      <c r="H8" s="16" t="n">
        <v>88000</v>
      </c>
      <c r="I8" s="16" t="n">
        <v>83000</v>
      </c>
      <c r="J8" s="16" t="n">
        <v>93000</v>
      </c>
      <c r="K8" s="43" t="n"/>
      <c r="L8" s="21" t="inlineStr">
        <is>
          <t>厚生年金保険料率</t>
        </is>
      </c>
      <c r="M8" s="38" t="n">
        <v>0.183</v>
      </c>
      <c r="N8" s="43" t="n"/>
      <c r="O8" s="16" t="n">
        <v>300000</v>
      </c>
      <c r="P8" s="36" t="n">
        <v>0.2</v>
      </c>
      <c r="Q8" s="16" t="n">
        <v>36667</v>
      </c>
    </row>
    <row r="9">
      <c r="A9" s="12" t="inlineStr">
        <is>
          <t>秋田県</t>
        </is>
      </c>
      <c r="B9" s="57" t="n">
        <v>10.01</v>
      </c>
      <c r="C9" s="57" t="n">
        <v>10.01</v>
      </c>
      <c r="D9" s="43" t="n"/>
      <c r="E9" s="43" t="n"/>
      <c r="F9" s="12" t="n">
        <v>5</v>
      </c>
      <c r="G9" s="12" t="n">
        <v>2</v>
      </c>
      <c r="H9" s="16" t="n">
        <v>98000</v>
      </c>
      <c r="I9" s="16" t="n">
        <v>93000</v>
      </c>
      <c r="J9" s="16" t="n">
        <v>101000</v>
      </c>
      <c r="K9" s="43" t="n"/>
      <c r="L9" s="21" t="inlineStr">
        <is>
          <t>厚生年金の標準報酬月額の下限（1等級）</t>
        </is>
      </c>
      <c r="M9" s="16" t="n">
        <v>88000</v>
      </c>
      <c r="N9" s="43" t="n"/>
      <c r="O9" s="16" t="n">
        <v>550000</v>
      </c>
      <c r="P9" s="36" t="n">
        <v>0.1</v>
      </c>
      <c r="Q9" s="16" t="n">
        <v>91667</v>
      </c>
    </row>
    <row r="10">
      <c r="A10" s="12" t="inlineStr">
        <is>
          <t>山形県</t>
        </is>
      </c>
      <c r="B10" s="57" t="n">
        <v>9.75</v>
      </c>
      <c r="C10" s="57" t="n">
        <v>9.75</v>
      </c>
      <c r="D10" s="43" t="n"/>
      <c r="E10" s="43" t="n"/>
      <c r="F10" s="12" t="n">
        <v>6</v>
      </c>
      <c r="G10" s="12" t="n">
        <v>3</v>
      </c>
      <c r="H10" s="16" t="n">
        <v>104000</v>
      </c>
      <c r="I10" s="16" t="n">
        <v>101000</v>
      </c>
      <c r="J10" s="16" t="n">
        <v>107000</v>
      </c>
      <c r="K10" s="43" t="n"/>
      <c r="L10" s="21" t="inlineStr">
        <is>
          <t>厚生年金の標準報酬月額の上限（32等級）</t>
        </is>
      </c>
      <c r="M10" s="16" t="n">
        <v>650000</v>
      </c>
      <c r="N10" s="43" t="n"/>
      <c r="O10" s="16" t="n">
        <v>708331</v>
      </c>
      <c r="P10" s="36" t="n">
        <v>0</v>
      </c>
      <c r="Q10" s="16" t="n">
        <v>162500</v>
      </c>
    </row>
    <row r="11" ht="40" customHeight="1">
      <c r="A11" s="12" t="inlineStr">
        <is>
          <t>福島県</t>
        </is>
      </c>
      <c r="B11" s="57" t="n">
        <v>9.619999999999999</v>
      </c>
      <c r="C11" s="57" t="n">
        <v>9.5</v>
      </c>
      <c r="D11" s="43" t="n"/>
      <c r="E11" s="43" t="n"/>
      <c r="F11" s="12" t="n">
        <v>7</v>
      </c>
      <c r="G11" s="12" t="n">
        <v>4</v>
      </c>
      <c r="H11" s="16" t="n">
        <v>110000</v>
      </c>
      <c r="I11" s="16" t="n">
        <v>107000</v>
      </c>
      <c r="J11" s="16" t="n">
        <v>114000</v>
      </c>
      <c r="K11" s="43" t="n"/>
      <c r="L11" s="21" t="inlineStr">
        <is>
          <t>令和8年度の健康保険料率が使える最初の対象年月</t>
        </is>
      </c>
      <c r="M11" s="58" t="n">
        <v>46082</v>
      </c>
      <c r="N11" s="43" t="n"/>
      <c r="O11" s="44" t="inlineStr">
        <is>
          <t>給与所得控除の額＝社保控除後の給与×率＋定数（1円未満切上げ）。社保控除後の給与は、課税される支給額から社会保険料等を引いた額</t>
        </is>
      </c>
      <c r="P11" s="43" t="n"/>
      <c r="Q11" s="43" t="n"/>
    </row>
    <row r="12">
      <c r="A12" s="12" t="inlineStr">
        <is>
          <t>茨城県</t>
        </is>
      </c>
      <c r="B12" s="57" t="n">
        <v>9.67</v>
      </c>
      <c r="C12" s="57" t="n">
        <v>9.52</v>
      </c>
      <c r="D12" s="43" t="n"/>
      <c r="E12" s="43" t="n"/>
      <c r="F12" s="12" t="n">
        <v>8</v>
      </c>
      <c r="G12" s="12" t="n">
        <v>5</v>
      </c>
      <c r="H12" s="16" t="n">
        <v>118000</v>
      </c>
      <c r="I12" s="16" t="n">
        <v>114000</v>
      </c>
      <c r="J12" s="16" t="n">
        <v>122000</v>
      </c>
      <c r="K12" s="43" t="n"/>
      <c r="L12" s="21" t="inlineStr">
        <is>
          <t>令和8年度の健康保険料率が使える最後の対象年月</t>
        </is>
      </c>
      <c r="M12" s="58" t="n">
        <v>46419</v>
      </c>
      <c r="N12" s="43" t="n"/>
      <c r="O12" s="4" t="inlineStr">
        <is>
          <t>第2表 配偶者控除・扶養控除等</t>
        </is>
      </c>
      <c r="P12" s="50" t="n"/>
      <c r="Q12" s="51" t="n"/>
    </row>
    <row r="13">
      <c r="A13" s="12" t="inlineStr">
        <is>
          <t>栃木県</t>
        </is>
      </c>
      <c r="B13" s="57" t="n">
        <v>9.82</v>
      </c>
      <c r="C13" s="57" t="n">
        <v>9.82</v>
      </c>
      <c r="D13" s="43" t="n"/>
      <c r="E13" s="43" t="n"/>
      <c r="F13" s="12" t="n">
        <v>9</v>
      </c>
      <c r="G13" s="12" t="n">
        <v>6</v>
      </c>
      <c r="H13" s="16" t="n">
        <v>126000</v>
      </c>
      <c r="I13" s="16" t="n">
        <v>122000</v>
      </c>
      <c r="J13" s="16" t="n">
        <v>130000</v>
      </c>
      <c r="K13" s="43" t="n"/>
      <c r="L13" s="21" t="inlineStr">
        <is>
          <t>この源泉所得税の算式が使える支払の年（令和8年分）</t>
        </is>
      </c>
      <c r="M13" s="59" t="n">
        <v>2026</v>
      </c>
      <c r="N13" s="43" t="n"/>
      <c r="O13" s="47" t="inlineStr">
        <is>
          <t>1人あたりの額</t>
        </is>
      </c>
      <c r="P13" s="16" t="n">
        <v>31667</v>
      </c>
      <c r="Q13" s="44" t="inlineStr">
        <is>
          <t>×扶養親族等の数</t>
        </is>
      </c>
    </row>
    <row r="14">
      <c r="A14" s="12" t="inlineStr">
        <is>
          <t>群馬県</t>
        </is>
      </c>
      <c r="B14" s="57" t="n">
        <v>9.77</v>
      </c>
      <c r="C14" s="57" t="n">
        <v>9.68</v>
      </c>
      <c r="D14" s="43" t="n"/>
      <c r="E14" s="43" t="n"/>
      <c r="F14" s="12" t="n">
        <v>10</v>
      </c>
      <c r="G14" s="12" t="n">
        <v>7</v>
      </c>
      <c r="H14" s="16" t="n">
        <v>134000</v>
      </c>
      <c r="I14" s="16" t="n">
        <v>130000</v>
      </c>
      <c r="J14" s="16" t="n">
        <v>138000</v>
      </c>
      <c r="K14" s="43" t="n"/>
      <c r="L14" s="21" t="inlineStr">
        <is>
          <t>令和8年度の雇用保険料率が使える最初の支払日</t>
        </is>
      </c>
      <c r="M14" s="60" t="n">
        <v>46113</v>
      </c>
      <c r="N14" s="43" t="n"/>
      <c r="O14" s="43" t="n"/>
      <c r="P14" s="43" t="n"/>
      <c r="Q14" s="43" t="n"/>
    </row>
    <row r="15">
      <c r="A15" s="12" t="inlineStr">
        <is>
          <t>埼玉県</t>
        </is>
      </c>
      <c r="B15" s="57" t="n">
        <v>9.76</v>
      </c>
      <c r="C15" s="57" t="n">
        <v>9.67</v>
      </c>
      <c r="D15" s="43" t="n"/>
      <c r="E15" s="43" t="n"/>
      <c r="F15" s="12" t="n">
        <v>11</v>
      </c>
      <c r="G15" s="12" t="n">
        <v>8</v>
      </c>
      <c r="H15" s="16" t="n">
        <v>142000</v>
      </c>
      <c r="I15" s="16" t="n">
        <v>138000</v>
      </c>
      <c r="J15" s="16" t="n">
        <v>146000</v>
      </c>
      <c r="K15" s="43" t="n"/>
      <c r="L15" s="21" t="inlineStr">
        <is>
          <t>令和8年度の雇用保険料率が使える最後の支払日</t>
        </is>
      </c>
      <c r="M15" s="60" t="n">
        <v>46477</v>
      </c>
      <c r="N15" s="43" t="n"/>
      <c r="O15" s="4" t="inlineStr">
        <is>
          <t>第3表 基礎控除</t>
        </is>
      </c>
      <c r="P15" s="50" t="n"/>
      <c r="Q15" s="51" t="n"/>
    </row>
    <row r="16">
      <c r="A16" s="12" t="inlineStr">
        <is>
          <t>千葉県</t>
        </is>
      </c>
      <c r="B16" s="57" t="n">
        <v>9.789999999999999</v>
      </c>
      <c r="C16" s="57" t="n">
        <v>9.73</v>
      </c>
      <c r="D16" s="43" t="n"/>
      <c r="E16" s="43" t="n"/>
      <c r="F16" s="12" t="n">
        <v>12</v>
      </c>
      <c r="G16" s="12" t="n">
        <v>9</v>
      </c>
      <c r="H16" s="16" t="n">
        <v>150000</v>
      </c>
      <c r="I16" s="16" t="n">
        <v>146000</v>
      </c>
      <c r="J16" s="16" t="n">
        <v>155000</v>
      </c>
      <c r="K16" s="43" t="n"/>
      <c r="L16" s="43" t="n"/>
      <c r="M16" s="43" t="n"/>
      <c r="N16" s="43" t="n"/>
      <c r="O16" s="47" t="inlineStr">
        <is>
          <t>社保控除後の給与の下限（円）</t>
        </is>
      </c>
      <c r="P16" s="47" t="inlineStr">
        <is>
          <t>額（円）</t>
        </is>
      </c>
      <c r="Q16" s="43" t="n"/>
    </row>
    <row r="17">
      <c r="A17" s="12" t="inlineStr">
        <is>
          <t>東京都</t>
        </is>
      </c>
      <c r="B17" s="57" t="n">
        <v>9.91</v>
      </c>
      <c r="C17" s="57" t="n">
        <v>9.85</v>
      </c>
      <c r="D17" s="43" t="n"/>
      <c r="E17" s="43" t="n"/>
      <c r="F17" s="12" t="n">
        <v>13</v>
      </c>
      <c r="G17" s="12" t="n">
        <v>10</v>
      </c>
      <c r="H17" s="16" t="n">
        <v>160000</v>
      </c>
      <c r="I17" s="16" t="n">
        <v>155000</v>
      </c>
      <c r="J17" s="16" t="n">
        <v>165000</v>
      </c>
      <c r="K17" s="43" t="n"/>
      <c r="L17" s="43" t="n"/>
      <c r="M17" s="43" t="n"/>
      <c r="N17" s="43" t="n"/>
      <c r="O17" s="16" t="n">
        <v>0</v>
      </c>
      <c r="P17" s="16" t="n">
        <v>48334</v>
      </c>
      <c r="Q17" s="43" t="n"/>
    </row>
    <row r="18">
      <c r="A18" s="12" t="inlineStr">
        <is>
          <t>神奈川県</t>
        </is>
      </c>
      <c r="B18" s="57" t="n">
        <v>9.92</v>
      </c>
      <c r="C18" s="57" t="n">
        <v>9.92</v>
      </c>
      <c r="D18" s="43" t="n"/>
      <c r="E18" s="43" t="n"/>
      <c r="F18" s="12" t="n">
        <v>14</v>
      </c>
      <c r="G18" s="12" t="n">
        <v>11</v>
      </c>
      <c r="H18" s="16" t="n">
        <v>170000</v>
      </c>
      <c r="I18" s="16" t="n">
        <v>165000</v>
      </c>
      <c r="J18" s="16" t="n">
        <v>175000</v>
      </c>
      <c r="K18" s="43" t="n"/>
      <c r="L18" s="4" t="inlineStr">
        <is>
          <t>雇用保険料率（労働者負担）</t>
        </is>
      </c>
      <c r="M18" s="4" t="inlineStr">
        <is>
          <t>料率</t>
        </is>
      </c>
      <c r="N18" s="43" t="n"/>
      <c r="O18" s="16" t="n">
        <v>2120834</v>
      </c>
      <c r="P18" s="16" t="n">
        <v>40000</v>
      </c>
      <c r="Q18" s="43" t="n"/>
    </row>
    <row r="19">
      <c r="A19" s="12" t="inlineStr">
        <is>
          <t>新潟県</t>
        </is>
      </c>
      <c r="B19" s="57" t="n">
        <v>9.550000000000001</v>
      </c>
      <c r="C19" s="57" t="n">
        <v>9.210000000000001</v>
      </c>
      <c r="D19" s="43" t="n"/>
      <c r="E19" s="43" t="n"/>
      <c r="F19" s="12" t="n">
        <v>15</v>
      </c>
      <c r="G19" s="12" t="n">
        <v>12</v>
      </c>
      <c r="H19" s="16" t="n">
        <v>180000</v>
      </c>
      <c r="I19" s="16" t="n">
        <v>175000</v>
      </c>
      <c r="J19" s="16" t="n">
        <v>185000</v>
      </c>
      <c r="K19" s="43" t="n"/>
      <c r="L19" s="21" t="inlineStr">
        <is>
          <t>一般の事業</t>
        </is>
      </c>
      <c r="M19" s="41" t="n">
        <v>0.005</v>
      </c>
      <c r="N19" s="43" t="n"/>
      <c r="O19" s="16" t="n">
        <v>2162500</v>
      </c>
      <c r="P19" s="16" t="n">
        <v>26667</v>
      </c>
      <c r="Q19" s="43" t="n"/>
    </row>
    <row r="20">
      <c r="A20" s="12" t="inlineStr">
        <is>
          <t>富山県</t>
        </is>
      </c>
      <c r="B20" s="57" t="n">
        <v>9.65</v>
      </c>
      <c r="C20" s="57" t="n">
        <v>9.59</v>
      </c>
      <c r="D20" s="43" t="n"/>
      <c r="E20" s="43" t="n"/>
      <c r="F20" s="12" t="n">
        <v>16</v>
      </c>
      <c r="G20" s="12" t="n">
        <v>13</v>
      </c>
      <c r="H20" s="16" t="n">
        <v>190000</v>
      </c>
      <c r="I20" s="16" t="n">
        <v>185000</v>
      </c>
      <c r="J20" s="16" t="n">
        <v>195000</v>
      </c>
      <c r="K20" s="43" t="n"/>
      <c r="L20" s="21" t="inlineStr">
        <is>
          <t>農林水産・清酒製造の事業</t>
        </is>
      </c>
      <c r="M20" s="41" t="n">
        <v>0.006</v>
      </c>
      <c r="N20" s="43" t="n"/>
      <c r="O20" s="16" t="n">
        <v>2204167</v>
      </c>
      <c r="P20" s="16" t="n">
        <v>13334</v>
      </c>
      <c r="Q20" s="43" t="n"/>
    </row>
    <row r="21">
      <c r="A21" s="12" t="inlineStr">
        <is>
          <t>石川県</t>
        </is>
      </c>
      <c r="B21" s="57" t="n">
        <v>9.880000000000001</v>
      </c>
      <c r="C21" s="57" t="n">
        <v>9.699999999999999</v>
      </c>
      <c r="D21" s="43" t="n"/>
      <c r="E21" s="43" t="n"/>
      <c r="F21" s="12" t="n">
        <v>17</v>
      </c>
      <c r="G21" s="12" t="n">
        <v>14</v>
      </c>
      <c r="H21" s="16" t="n">
        <v>200000</v>
      </c>
      <c r="I21" s="16" t="n">
        <v>195000</v>
      </c>
      <c r="J21" s="16" t="n">
        <v>210000</v>
      </c>
      <c r="K21" s="43" t="n"/>
      <c r="L21" s="21" t="inlineStr">
        <is>
          <t>建設の事業</t>
        </is>
      </c>
      <c r="M21" s="41" t="n">
        <v>0.006</v>
      </c>
      <c r="N21" s="43" t="n"/>
      <c r="O21" s="16" t="n">
        <v>2245834</v>
      </c>
      <c r="P21" s="16" t="n">
        <v>0</v>
      </c>
      <c r="Q21" s="43" t="n"/>
    </row>
    <row r="22">
      <c r="A22" s="12" t="inlineStr">
        <is>
          <t>福井県</t>
        </is>
      </c>
      <c r="B22" s="57" t="n">
        <v>9.94</v>
      </c>
      <c r="C22" s="57" t="n">
        <v>9.710000000000001</v>
      </c>
      <c r="D22" s="43" t="n"/>
      <c r="E22" s="43" t="n"/>
      <c r="F22" s="12" t="n">
        <v>18</v>
      </c>
      <c r="G22" s="12" t="n">
        <v>15</v>
      </c>
      <c r="H22" s="16" t="n">
        <v>220000</v>
      </c>
      <c r="I22" s="16" t="n">
        <v>210000</v>
      </c>
      <c r="J22" s="16" t="n">
        <v>230000</v>
      </c>
      <c r="K22" s="43" t="n"/>
      <c r="L22" s="43" t="n"/>
      <c r="M22" s="43" t="n"/>
      <c r="N22" s="43" t="n"/>
      <c r="O22" s="43" t="n"/>
      <c r="P22" s="43" t="n"/>
      <c r="Q22" s="43" t="n"/>
    </row>
    <row r="23">
      <c r="A23" s="12" t="inlineStr">
        <is>
          <t>山梨県</t>
        </is>
      </c>
      <c r="B23" s="57" t="n">
        <v>9.890000000000001</v>
      </c>
      <c r="C23" s="57" t="n">
        <v>9.550000000000001</v>
      </c>
      <c r="D23" s="43" t="n"/>
      <c r="E23" s="43" t="n"/>
      <c r="F23" s="12" t="n">
        <v>19</v>
      </c>
      <c r="G23" s="12" t="n">
        <v>16</v>
      </c>
      <c r="H23" s="16" t="n">
        <v>240000</v>
      </c>
      <c r="I23" s="16" t="n">
        <v>230000</v>
      </c>
      <c r="J23" s="16" t="n">
        <v>250000</v>
      </c>
      <c r="K23" s="43" t="n"/>
      <c r="L23" s="43" t="n"/>
      <c r="M23" s="43" t="n"/>
      <c r="N23" s="43" t="n"/>
      <c r="O23" s="4" t="inlineStr">
        <is>
          <t>第4表 税額の算式</t>
        </is>
      </c>
      <c r="P23" s="50" t="n"/>
      <c r="Q23" s="51" t="n"/>
    </row>
    <row r="24">
      <c r="A24" s="12" t="inlineStr">
        <is>
          <t>長野県</t>
        </is>
      </c>
      <c r="B24" s="57" t="n">
        <v>9.69</v>
      </c>
      <c r="C24" s="57" t="n">
        <v>9.630000000000001</v>
      </c>
      <c r="D24" s="43" t="n"/>
      <c r="E24" s="43" t="n"/>
      <c r="F24" s="12" t="n">
        <v>20</v>
      </c>
      <c r="G24" s="12" t="n">
        <v>17</v>
      </c>
      <c r="H24" s="16" t="n">
        <v>260000</v>
      </c>
      <c r="I24" s="16" t="n">
        <v>250000</v>
      </c>
      <c r="J24" s="16" t="n">
        <v>270000</v>
      </c>
      <c r="K24" s="43" t="n"/>
      <c r="L24" s="43" t="n"/>
      <c r="M24" s="43" t="n"/>
      <c r="N24" s="43" t="n"/>
      <c r="O24" s="47" t="inlineStr">
        <is>
          <t>課税給与所得金額の下限（円）</t>
        </is>
      </c>
      <c r="P24" s="47" t="inlineStr">
        <is>
          <t>率</t>
        </is>
      </c>
      <c r="Q24" s="47" t="inlineStr">
        <is>
          <t>引く定数（円）</t>
        </is>
      </c>
    </row>
    <row r="25">
      <c r="A25" s="12" t="inlineStr">
        <is>
          <t>岐阜県</t>
        </is>
      </c>
      <c r="B25" s="57" t="n">
        <v>9.93</v>
      </c>
      <c r="C25" s="57" t="n">
        <v>9.800000000000001</v>
      </c>
      <c r="D25" s="43" t="n"/>
      <c r="E25" s="43" t="n"/>
      <c r="F25" s="12" t="n">
        <v>21</v>
      </c>
      <c r="G25" s="12" t="n">
        <v>18</v>
      </c>
      <c r="H25" s="16" t="n">
        <v>280000</v>
      </c>
      <c r="I25" s="16" t="n">
        <v>270000</v>
      </c>
      <c r="J25" s="16" t="n">
        <v>290000</v>
      </c>
      <c r="K25" s="43" t="n"/>
      <c r="L25" s="43" t="n"/>
      <c r="M25" s="43" t="n"/>
      <c r="N25" s="43" t="n"/>
      <c r="O25" s="16" t="n">
        <v>0</v>
      </c>
      <c r="P25" s="38" t="n">
        <v>0.05105</v>
      </c>
      <c r="Q25" s="16" t="n">
        <v>0</v>
      </c>
    </row>
    <row r="26">
      <c r="A26" s="12" t="inlineStr">
        <is>
          <t>静岡県</t>
        </is>
      </c>
      <c r="B26" s="57" t="n">
        <v>9.800000000000001</v>
      </c>
      <c r="C26" s="57" t="n">
        <v>9.609999999999999</v>
      </c>
      <c r="D26" s="43" t="n"/>
      <c r="E26" s="43" t="n"/>
      <c r="F26" s="12" t="n">
        <v>22</v>
      </c>
      <c r="G26" s="12" t="n">
        <v>19</v>
      </c>
      <c r="H26" s="16" t="n">
        <v>300000</v>
      </c>
      <c r="I26" s="16" t="n">
        <v>290000</v>
      </c>
      <c r="J26" s="16" t="n">
        <v>310000</v>
      </c>
      <c r="K26" s="43" t="n"/>
      <c r="L26" s="43" t="n"/>
      <c r="M26" s="43" t="n"/>
      <c r="N26" s="43" t="n"/>
      <c r="O26" s="16" t="n">
        <v>162501</v>
      </c>
      <c r="P26" s="38" t="n">
        <v>0.1021</v>
      </c>
      <c r="Q26" s="16" t="n">
        <v>8296</v>
      </c>
    </row>
    <row r="27">
      <c r="A27" s="12" t="inlineStr">
        <is>
          <t>愛知県</t>
        </is>
      </c>
      <c r="B27" s="57" t="n">
        <v>10.03</v>
      </c>
      <c r="C27" s="57" t="n">
        <v>9.93</v>
      </c>
      <c r="D27" s="43" t="n"/>
      <c r="E27" s="43" t="n"/>
      <c r="F27" s="12" t="n">
        <v>23</v>
      </c>
      <c r="G27" s="12" t="n">
        <v>20</v>
      </c>
      <c r="H27" s="16" t="n">
        <v>320000</v>
      </c>
      <c r="I27" s="16" t="n">
        <v>310000</v>
      </c>
      <c r="J27" s="16" t="n">
        <v>330000</v>
      </c>
      <c r="K27" s="43" t="n"/>
      <c r="L27" s="43" t="n"/>
      <c r="M27" s="43" t="n"/>
      <c r="N27" s="43" t="n"/>
      <c r="O27" s="16" t="n">
        <v>275001</v>
      </c>
      <c r="P27" s="38" t="n">
        <v>0.2042</v>
      </c>
      <c r="Q27" s="16" t="n">
        <v>36374</v>
      </c>
    </row>
    <row r="28">
      <c r="A28" s="12" t="inlineStr">
        <is>
          <t>三重県</t>
        </is>
      </c>
      <c r="B28" s="57" t="n">
        <v>9.99</v>
      </c>
      <c r="C28" s="57" t="n">
        <v>9.77</v>
      </c>
      <c r="D28" s="43" t="n"/>
      <c r="E28" s="43" t="n"/>
      <c r="F28" s="12" t="n">
        <v>24</v>
      </c>
      <c r="G28" s="12" t="n">
        <v>21</v>
      </c>
      <c r="H28" s="16" t="n">
        <v>340000</v>
      </c>
      <c r="I28" s="16" t="n">
        <v>330000</v>
      </c>
      <c r="J28" s="16" t="n">
        <v>350000</v>
      </c>
      <c r="K28" s="43" t="n"/>
      <c r="L28" s="43" t="n"/>
      <c r="M28" s="43" t="n"/>
      <c r="N28" s="43" t="n"/>
      <c r="O28" s="16" t="n">
        <v>579167</v>
      </c>
      <c r="P28" s="38" t="n">
        <v>0.23483</v>
      </c>
      <c r="Q28" s="16" t="n">
        <v>54113</v>
      </c>
    </row>
    <row r="29">
      <c r="A29" s="12" t="inlineStr">
        <is>
          <t>滋賀県</t>
        </is>
      </c>
      <c r="B29" s="57" t="n">
        <v>9.970000000000001</v>
      </c>
      <c r="C29" s="57" t="n">
        <v>9.880000000000001</v>
      </c>
      <c r="D29" s="43" t="n"/>
      <c r="E29" s="43" t="n"/>
      <c r="F29" s="12" t="n">
        <v>25</v>
      </c>
      <c r="G29" s="12" t="n">
        <v>22</v>
      </c>
      <c r="H29" s="16" t="n">
        <v>360000</v>
      </c>
      <c r="I29" s="16" t="n">
        <v>350000</v>
      </c>
      <c r="J29" s="16" t="n">
        <v>370000</v>
      </c>
      <c r="K29" s="43" t="n"/>
      <c r="L29" s="43" t="n"/>
      <c r="M29" s="43" t="n"/>
      <c r="N29" s="43" t="n"/>
      <c r="O29" s="16" t="n">
        <v>750001</v>
      </c>
      <c r="P29" s="38" t="n">
        <v>0.33693</v>
      </c>
      <c r="Q29" s="16" t="n">
        <v>130688</v>
      </c>
    </row>
    <row r="30">
      <c r="A30" s="12" t="inlineStr">
        <is>
          <t>京都府</t>
        </is>
      </c>
      <c r="B30" s="57" t="n">
        <v>10.03</v>
      </c>
      <c r="C30" s="57" t="n">
        <v>9.890000000000001</v>
      </c>
      <c r="D30" s="43" t="n"/>
      <c r="E30" s="43" t="n"/>
      <c r="F30" s="12" t="n">
        <v>26</v>
      </c>
      <c r="G30" s="12" t="n">
        <v>23</v>
      </c>
      <c r="H30" s="16" t="n">
        <v>380000</v>
      </c>
      <c r="I30" s="16" t="n">
        <v>370000</v>
      </c>
      <c r="J30" s="16" t="n">
        <v>395000</v>
      </c>
      <c r="K30" s="43" t="n"/>
      <c r="L30" s="43" t="n"/>
      <c r="M30" s="43" t="n"/>
      <c r="N30" s="43" t="n"/>
      <c r="O30" s="16" t="n">
        <v>1500001</v>
      </c>
      <c r="P30" s="38" t="n">
        <v>0.4084</v>
      </c>
      <c r="Q30" s="16" t="n">
        <v>237893</v>
      </c>
    </row>
    <row r="31">
      <c r="A31" s="12" t="inlineStr">
        <is>
          <t>大阪府</t>
        </is>
      </c>
      <c r="B31" s="57" t="n">
        <v>10.24</v>
      </c>
      <c r="C31" s="57" t="n">
        <v>10.13</v>
      </c>
      <c r="D31" s="43" t="n"/>
      <c r="E31" s="43" t="n"/>
      <c r="F31" s="12" t="n">
        <v>27</v>
      </c>
      <c r="G31" s="12" t="n">
        <v>24</v>
      </c>
      <c r="H31" s="16" t="n">
        <v>410000</v>
      </c>
      <c r="I31" s="16" t="n">
        <v>395000</v>
      </c>
      <c r="J31" s="16" t="n">
        <v>425000</v>
      </c>
      <c r="K31" s="43" t="n"/>
      <c r="L31" s="43" t="n"/>
      <c r="M31" s="43" t="n"/>
      <c r="N31" s="43" t="n"/>
      <c r="O31" s="16" t="n">
        <v>3333334</v>
      </c>
      <c r="P31" s="38" t="n">
        <v>0.45945</v>
      </c>
      <c r="Q31" s="16" t="n">
        <v>408061</v>
      </c>
    </row>
    <row r="32" ht="52" customHeight="1">
      <c r="A32" s="12" t="inlineStr">
        <is>
          <t>兵庫県</t>
        </is>
      </c>
      <c r="B32" s="57" t="n">
        <v>10.16</v>
      </c>
      <c r="C32" s="57" t="n">
        <v>10.12</v>
      </c>
      <c r="D32" s="43" t="n"/>
      <c r="E32" s="43" t="n"/>
      <c r="F32" s="12" t="n">
        <v>28</v>
      </c>
      <c r="G32" s="12" t="n">
        <v>25</v>
      </c>
      <c r="H32" s="16" t="n">
        <v>440000</v>
      </c>
      <c r="I32" s="16" t="n">
        <v>425000</v>
      </c>
      <c r="J32" s="16" t="n">
        <v>455000</v>
      </c>
      <c r="K32" s="43" t="n"/>
      <c r="L32" s="43" t="n"/>
      <c r="M32" s="43" t="n"/>
      <c r="N32" s="43" t="n"/>
      <c r="O32" s="44" t="inlineStr">
        <is>
          <t>税額＝課税給与所得金額×率−定数（10円未満は四捨五入）。課税給与所得金額＝社保控除後の給与−給与所得控除−扶養控除等−基礎控除。税率は復興特別所得税を含む</t>
        </is>
      </c>
      <c r="P32" s="43" t="n"/>
      <c r="Q32" s="43" t="n"/>
    </row>
    <row r="33">
      <c r="A33" s="12" t="inlineStr">
        <is>
          <t>奈良県</t>
        </is>
      </c>
      <c r="B33" s="57" t="n">
        <v>10.02</v>
      </c>
      <c r="C33" s="57" t="n">
        <v>9.91</v>
      </c>
      <c r="D33" s="43" t="n"/>
      <c r="E33" s="43" t="n"/>
      <c r="F33" s="12" t="n">
        <v>29</v>
      </c>
      <c r="G33" s="12" t="n">
        <v>26</v>
      </c>
      <c r="H33" s="16" t="n">
        <v>470000</v>
      </c>
      <c r="I33" s="16" t="n">
        <v>455000</v>
      </c>
      <c r="J33" s="16" t="n">
        <v>485000</v>
      </c>
      <c r="K33" s="43" t="n"/>
      <c r="L33" s="43" t="n"/>
      <c r="M33" s="43" t="n"/>
      <c r="N33" s="43" t="n"/>
      <c r="O33" s="43" t="n"/>
      <c r="P33" s="43" t="n"/>
      <c r="Q33" s="43" t="n"/>
    </row>
    <row r="34">
      <c r="A34" s="12" t="inlineStr">
        <is>
          <t>和歌山県</t>
        </is>
      </c>
      <c r="B34" s="57" t="n">
        <v>10.19</v>
      </c>
      <c r="C34" s="57" t="n">
        <v>10.06</v>
      </c>
      <c r="D34" s="43" t="n"/>
      <c r="E34" s="43" t="n"/>
      <c r="F34" s="12" t="n">
        <v>30</v>
      </c>
      <c r="G34" s="12" t="n">
        <v>27</v>
      </c>
      <c r="H34" s="16" t="n">
        <v>500000</v>
      </c>
      <c r="I34" s="16" t="n">
        <v>485000</v>
      </c>
      <c r="J34" s="16" t="n">
        <v>515000</v>
      </c>
      <c r="K34" s="43" t="n"/>
      <c r="L34" s="43" t="n"/>
      <c r="M34" s="43" t="n"/>
      <c r="N34" s="43" t="n"/>
      <c r="O34" s="43" t="n"/>
      <c r="P34" s="43" t="n"/>
      <c r="Q34" s="43" t="n"/>
    </row>
    <row r="35">
      <c r="A35" s="12" t="inlineStr">
        <is>
          <t>鳥取県</t>
        </is>
      </c>
      <c r="B35" s="57" t="n">
        <v>9.93</v>
      </c>
      <c r="C35" s="57" t="n">
        <v>9.859999999999999</v>
      </c>
      <c r="D35" s="43" t="n"/>
      <c r="E35" s="43" t="n"/>
      <c r="F35" s="12" t="n">
        <v>31</v>
      </c>
      <c r="G35" s="12" t="n">
        <v>28</v>
      </c>
      <c r="H35" s="16" t="n">
        <v>530000</v>
      </c>
      <c r="I35" s="16" t="n">
        <v>515000</v>
      </c>
      <c r="J35" s="16" t="n">
        <v>545000</v>
      </c>
      <c r="K35" s="43" t="n"/>
      <c r="L35" s="43" t="n"/>
      <c r="M35" s="43" t="n"/>
      <c r="N35" s="43" t="n"/>
      <c r="O35" s="43" t="n"/>
      <c r="P35" s="43" t="n"/>
      <c r="Q35" s="43" t="n"/>
    </row>
    <row r="36">
      <c r="A36" s="12" t="inlineStr">
        <is>
          <t>島根県</t>
        </is>
      </c>
      <c r="B36" s="57" t="n">
        <v>9.94</v>
      </c>
      <c r="C36" s="57" t="n">
        <v>9.94</v>
      </c>
      <c r="D36" s="43" t="n"/>
      <c r="E36" s="43" t="n"/>
      <c r="F36" s="12" t="n">
        <v>32</v>
      </c>
      <c r="G36" s="12" t="n">
        <v>29</v>
      </c>
      <c r="H36" s="16" t="n">
        <v>560000</v>
      </c>
      <c r="I36" s="16" t="n">
        <v>545000</v>
      </c>
      <c r="J36" s="16" t="n">
        <v>575000</v>
      </c>
      <c r="K36" s="43" t="n"/>
      <c r="L36" s="43" t="n"/>
      <c r="M36" s="43" t="n"/>
      <c r="N36" s="43" t="n"/>
      <c r="O36" s="43" t="n"/>
      <c r="P36" s="43" t="n"/>
      <c r="Q36" s="43" t="n"/>
    </row>
    <row r="37">
      <c r="A37" s="12" t="inlineStr">
        <is>
          <t>岡山県</t>
        </is>
      </c>
      <c r="B37" s="57" t="n">
        <v>10.17</v>
      </c>
      <c r="C37" s="57" t="n">
        <v>10.05</v>
      </c>
      <c r="D37" s="43" t="n"/>
      <c r="E37" s="43" t="n"/>
      <c r="F37" s="12" t="n">
        <v>33</v>
      </c>
      <c r="G37" s="12" t="n">
        <v>30</v>
      </c>
      <c r="H37" s="16" t="n">
        <v>590000</v>
      </c>
      <c r="I37" s="16" t="n">
        <v>575000</v>
      </c>
      <c r="J37" s="16" t="n">
        <v>605000</v>
      </c>
      <c r="K37" s="43" t="n"/>
      <c r="L37" s="43" t="n"/>
      <c r="M37" s="43" t="n"/>
      <c r="N37" s="43" t="n"/>
      <c r="O37" s="43" t="n"/>
      <c r="P37" s="43" t="n"/>
      <c r="Q37" s="43" t="n"/>
    </row>
    <row r="38">
      <c r="A38" s="12" t="inlineStr">
        <is>
          <t>広島県</t>
        </is>
      </c>
      <c r="B38" s="57" t="n">
        <v>9.970000000000001</v>
      </c>
      <c r="C38" s="57" t="n">
        <v>9.779999999999999</v>
      </c>
      <c r="D38" s="43" t="n"/>
      <c r="E38" s="43" t="n"/>
      <c r="F38" s="12" t="n">
        <v>34</v>
      </c>
      <c r="G38" s="12" t="n">
        <v>31</v>
      </c>
      <c r="H38" s="16" t="n">
        <v>620000</v>
      </c>
      <c r="I38" s="16" t="n">
        <v>605000</v>
      </c>
      <c r="J38" s="16" t="n">
        <v>635000</v>
      </c>
      <c r="K38" s="43" t="n"/>
      <c r="L38" s="43" t="n"/>
      <c r="M38" s="43" t="n"/>
      <c r="N38" s="43" t="n"/>
      <c r="O38" s="43" t="n"/>
      <c r="P38" s="43" t="n"/>
      <c r="Q38" s="43" t="n"/>
    </row>
    <row r="39">
      <c r="A39" s="12" t="inlineStr">
        <is>
          <t>山口県</t>
        </is>
      </c>
      <c r="B39" s="57" t="n">
        <v>10.36</v>
      </c>
      <c r="C39" s="57" t="n">
        <v>10.15</v>
      </c>
      <c r="D39" s="43" t="n"/>
      <c r="E39" s="43" t="n"/>
      <c r="F39" s="12" t="n">
        <v>35</v>
      </c>
      <c r="G39" s="12" t="n">
        <v>32</v>
      </c>
      <c r="H39" s="16" t="n">
        <v>650000</v>
      </c>
      <c r="I39" s="16" t="n">
        <v>635000</v>
      </c>
      <c r="J39" s="16" t="n">
        <v>665000</v>
      </c>
      <c r="K39" s="43" t="n"/>
      <c r="L39" s="43" t="n"/>
      <c r="M39" s="43" t="n"/>
      <c r="N39" s="43" t="n"/>
      <c r="O39" s="43" t="n"/>
      <c r="P39" s="43" t="n"/>
      <c r="Q39" s="43" t="n"/>
    </row>
    <row r="40">
      <c r="A40" s="12" t="inlineStr">
        <is>
          <t>徳島県</t>
        </is>
      </c>
      <c r="B40" s="57" t="n">
        <v>10.47</v>
      </c>
      <c r="C40" s="57" t="n">
        <v>10.24</v>
      </c>
      <c r="D40" s="43" t="n"/>
      <c r="E40" s="43" t="n"/>
      <c r="F40" s="12" t="n">
        <v>36</v>
      </c>
      <c r="G40" s="12" t="inlineStr"/>
      <c r="H40" s="16" t="n">
        <v>680000</v>
      </c>
      <c r="I40" s="16" t="n">
        <v>665000</v>
      </c>
      <c r="J40" s="16" t="n">
        <v>695000</v>
      </c>
      <c r="K40" s="43" t="n"/>
      <c r="L40" s="43" t="n"/>
      <c r="M40" s="43" t="n"/>
      <c r="N40" s="43" t="n"/>
      <c r="O40" s="43" t="n"/>
      <c r="P40" s="43" t="n"/>
      <c r="Q40" s="43" t="n"/>
    </row>
    <row r="41">
      <c r="A41" s="12" t="inlineStr">
        <is>
          <t>香川県</t>
        </is>
      </c>
      <c r="B41" s="57" t="n">
        <v>10.21</v>
      </c>
      <c r="C41" s="57" t="n">
        <v>10.02</v>
      </c>
      <c r="D41" s="43" t="n"/>
      <c r="E41" s="43" t="n"/>
      <c r="F41" s="12" t="n">
        <v>37</v>
      </c>
      <c r="G41" s="12" t="inlineStr"/>
      <c r="H41" s="16" t="n">
        <v>710000</v>
      </c>
      <c r="I41" s="16" t="n">
        <v>695000</v>
      </c>
      <c r="J41" s="16" t="n">
        <v>730000</v>
      </c>
      <c r="K41" s="43" t="n"/>
      <c r="L41" s="43" t="n"/>
      <c r="M41" s="43" t="n"/>
      <c r="N41" s="43" t="n"/>
      <c r="O41" s="43" t="n"/>
      <c r="P41" s="43" t="n"/>
      <c r="Q41" s="43" t="n"/>
    </row>
    <row r="42">
      <c r="A42" s="12" t="inlineStr">
        <is>
          <t>愛媛県</t>
        </is>
      </c>
      <c r="B42" s="57" t="n">
        <v>10.18</v>
      </c>
      <c r="C42" s="57" t="n">
        <v>9.98</v>
      </c>
      <c r="D42" s="43" t="n"/>
      <c r="E42" s="43" t="n"/>
      <c r="F42" s="12" t="n">
        <v>38</v>
      </c>
      <c r="G42" s="12" t="inlineStr"/>
      <c r="H42" s="16" t="n">
        <v>750000</v>
      </c>
      <c r="I42" s="16" t="n">
        <v>730000</v>
      </c>
      <c r="J42" s="16" t="n">
        <v>770000</v>
      </c>
      <c r="K42" s="43" t="n"/>
      <c r="L42" s="43" t="n"/>
      <c r="M42" s="43" t="n"/>
      <c r="N42" s="43" t="n"/>
      <c r="O42" s="43" t="n"/>
      <c r="P42" s="43" t="n"/>
      <c r="Q42" s="43" t="n"/>
    </row>
    <row r="43">
      <c r="A43" s="12" t="inlineStr">
        <is>
          <t>高知県</t>
        </is>
      </c>
      <c r="B43" s="57" t="n">
        <v>10.13</v>
      </c>
      <c r="C43" s="57" t="n">
        <v>10.05</v>
      </c>
      <c r="D43" s="43" t="n"/>
      <c r="E43" s="43" t="n"/>
      <c r="F43" s="12" t="n">
        <v>39</v>
      </c>
      <c r="G43" s="12" t="inlineStr"/>
      <c r="H43" s="16" t="n">
        <v>790000</v>
      </c>
      <c r="I43" s="16" t="n">
        <v>770000</v>
      </c>
      <c r="J43" s="16" t="n">
        <v>810000</v>
      </c>
      <c r="K43" s="43" t="n"/>
      <c r="L43" s="43" t="n"/>
      <c r="M43" s="43" t="n"/>
      <c r="N43" s="43" t="n"/>
      <c r="O43" s="43" t="n"/>
      <c r="P43" s="43" t="n"/>
      <c r="Q43" s="43" t="n"/>
    </row>
    <row r="44">
      <c r="A44" s="12" t="inlineStr">
        <is>
          <t>福岡県</t>
        </is>
      </c>
      <c r="B44" s="57" t="n">
        <v>10.31</v>
      </c>
      <c r="C44" s="57" t="n">
        <v>10.11</v>
      </c>
      <c r="D44" s="43" t="n"/>
      <c r="E44" s="43" t="n"/>
      <c r="F44" s="12" t="n">
        <v>40</v>
      </c>
      <c r="G44" s="12" t="inlineStr"/>
      <c r="H44" s="16" t="n">
        <v>830000</v>
      </c>
      <c r="I44" s="16" t="n">
        <v>810000</v>
      </c>
      <c r="J44" s="16" t="n">
        <v>855000</v>
      </c>
      <c r="K44" s="43" t="n"/>
      <c r="L44" s="43" t="n"/>
      <c r="M44" s="43" t="n"/>
      <c r="N44" s="43" t="n"/>
      <c r="O44" s="43" t="n"/>
      <c r="P44" s="43" t="n"/>
      <c r="Q44" s="43" t="n"/>
    </row>
    <row r="45">
      <c r="A45" s="12" t="inlineStr">
        <is>
          <t>佐賀県</t>
        </is>
      </c>
      <c r="B45" s="57" t="n">
        <v>10.78</v>
      </c>
      <c r="C45" s="57" t="n">
        <v>10.55</v>
      </c>
      <c r="D45" s="43" t="n"/>
      <c r="E45" s="43" t="n"/>
      <c r="F45" s="12" t="n">
        <v>41</v>
      </c>
      <c r="G45" s="12" t="inlineStr"/>
      <c r="H45" s="16" t="n">
        <v>880000</v>
      </c>
      <c r="I45" s="16" t="n">
        <v>855000</v>
      </c>
      <c r="J45" s="16" t="n">
        <v>905000</v>
      </c>
      <c r="K45" s="43" t="n"/>
      <c r="L45" s="43" t="n"/>
      <c r="M45" s="43" t="n"/>
      <c r="N45" s="43" t="n"/>
      <c r="O45" s="43" t="n"/>
      <c r="P45" s="43" t="n"/>
      <c r="Q45" s="43" t="n"/>
    </row>
    <row r="46">
      <c r="A46" s="12" t="inlineStr">
        <is>
          <t>長崎県</t>
        </is>
      </c>
      <c r="B46" s="57" t="n">
        <v>10.41</v>
      </c>
      <c r="C46" s="57" t="n">
        <v>10.06</v>
      </c>
      <c r="D46" s="43" t="n"/>
      <c r="E46" s="43" t="n"/>
      <c r="F46" s="12" t="n">
        <v>42</v>
      </c>
      <c r="G46" s="12" t="inlineStr"/>
      <c r="H46" s="16" t="n">
        <v>930000</v>
      </c>
      <c r="I46" s="16" t="n">
        <v>905000</v>
      </c>
      <c r="J46" s="16" t="n">
        <v>955000</v>
      </c>
      <c r="K46" s="43" t="n"/>
      <c r="L46" s="43" t="n"/>
      <c r="M46" s="43" t="n"/>
      <c r="N46" s="43" t="n"/>
      <c r="O46" s="43" t="n"/>
      <c r="P46" s="43" t="n"/>
      <c r="Q46" s="43" t="n"/>
    </row>
    <row r="47">
      <c r="A47" s="12" t="inlineStr">
        <is>
          <t>熊本県</t>
        </is>
      </c>
      <c r="B47" s="57" t="n">
        <v>10.12</v>
      </c>
      <c r="C47" s="57" t="n">
        <v>10.08</v>
      </c>
      <c r="D47" s="43" t="n"/>
      <c r="E47" s="43" t="n"/>
      <c r="F47" s="12" t="n">
        <v>43</v>
      </c>
      <c r="G47" s="12" t="inlineStr"/>
      <c r="H47" s="16" t="n">
        <v>980000</v>
      </c>
      <c r="I47" s="16" t="n">
        <v>955000</v>
      </c>
      <c r="J47" s="16" t="n">
        <v>1005000</v>
      </c>
      <c r="K47" s="43" t="n"/>
      <c r="L47" s="43" t="n"/>
      <c r="M47" s="43" t="n"/>
      <c r="N47" s="43" t="n"/>
      <c r="O47" s="43" t="n"/>
      <c r="P47" s="43" t="n"/>
      <c r="Q47" s="43" t="n"/>
    </row>
    <row r="48">
      <c r="A48" s="12" t="inlineStr">
        <is>
          <t>大分県</t>
        </is>
      </c>
      <c r="B48" s="57" t="n">
        <v>10.25</v>
      </c>
      <c r="C48" s="57" t="n">
        <v>10.08</v>
      </c>
      <c r="D48" s="43" t="n"/>
      <c r="E48" s="43" t="n"/>
      <c r="F48" s="12" t="n">
        <v>44</v>
      </c>
      <c r="G48" s="12" t="inlineStr"/>
      <c r="H48" s="16" t="n">
        <v>1030000</v>
      </c>
      <c r="I48" s="16" t="n">
        <v>1005000</v>
      </c>
      <c r="J48" s="16" t="n">
        <v>1055000</v>
      </c>
      <c r="K48" s="43" t="n"/>
      <c r="L48" s="43" t="n"/>
      <c r="M48" s="43" t="n"/>
      <c r="N48" s="43" t="n"/>
      <c r="O48" s="43" t="n"/>
      <c r="P48" s="43" t="n"/>
      <c r="Q48" s="43" t="n"/>
    </row>
    <row r="49">
      <c r="A49" s="12" t="inlineStr">
        <is>
          <t>宮崎県</t>
        </is>
      </c>
      <c r="B49" s="57" t="n">
        <v>10.09</v>
      </c>
      <c r="C49" s="57" t="n">
        <v>9.77</v>
      </c>
      <c r="D49" s="43" t="n"/>
      <c r="E49" s="43" t="n"/>
      <c r="F49" s="12" t="n">
        <v>45</v>
      </c>
      <c r="G49" s="12" t="inlineStr"/>
      <c r="H49" s="16" t="n">
        <v>1090000</v>
      </c>
      <c r="I49" s="16" t="n">
        <v>1055000</v>
      </c>
      <c r="J49" s="16" t="n">
        <v>1115000</v>
      </c>
      <c r="K49" s="43" t="n"/>
      <c r="L49" s="43" t="n"/>
      <c r="M49" s="43" t="n"/>
      <c r="N49" s="43" t="n"/>
      <c r="O49" s="43" t="n"/>
      <c r="P49" s="43" t="n"/>
      <c r="Q49" s="43" t="n"/>
    </row>
    <row r="50">
      <c r="A50" s="12" t="inlineStr">
        <is>
          <t>鹿児島県</t>
        </is>
      </c>
      <c r="B50" s="57" t="n">
        <v>10.31</v>
      </c>
      <c r="C50" s="57" t="n">
        <v>10.13</v>
      </c>
      <c r="D50" s="43" t="n"/>
      <c r="E50" s="43" t="n"/>
      <c r="F50" s="12" t="n">
        <v>46</v>
      </c>
      <c r="G50" s="12" t="inlineStr"/>
      <c r="H50" s="16" t="n">
        <v>1150000</v>
      </c>
      <c r="I50" s="16" t="n">
        <v>1115000</v>
      </c>
      <c r="J50" s="16" t="n">
        <v>1175000</v>
      </c>
      <c r="K50" s="43" t="n"/>
      <c r="L50" s="43" t="n"/>
      <c r="M50" s="43" t="n"/>
      <c r="N50" s="43" t="n"/>
      <c r="O50" s="43" t="n"/>
      <c r="P50" s="43" t="n"/>
      <c r="Q50" s="43" t="n"/>
    </row>
    <row r="51">
      <c r="A51" s="12" t="inlineStr">
        <is>
          <t>沖縄県</t>
        </is>
      </c>
      <c r="B51" s="57" t="n">
        <v>9.44</v>
      </c>
      <c r="C51" s="57" t="n">
        <v>9.44</v>
      </c>
      <c r="D51" s="43" t="n"/>
      <c r="E51" s="43" t="n"/>
      <c r="F51" s="12" t="n">
        <v>47</v>
      </c>
      <c r="G51" s="12" t="inlineStr"/>
      <c r="H51" s="16" t="n">
        <v>1210000</v>
      </c>
      <c r="I51" s="16" t="n">
        <v>1175000</v>
      </c>
      <c r="J51" s="16" t="n">
        <v>1235000</v>
      </c>
      <c r="K51" s="43" t="n"/>
      <c r="L51" s="43" t="n"/>
      <c r="M51" s="43" t="n"/>
      <c r="N51" s="43" t="n"/>
      <c r="O51" s="43" t="n"/>
      <c r="P51" s="43" t="n"/>
      <c r="Q51" s="43" t="n"/>
    </row>
    <row r="52">
      <c r="A52" s="43" t="n"/>
      <c r="B52" s="43" t="n"/>
      <c r="C52" s="43" t="n"/>
      <c r="D52" s="43" t="n"/>
      <c r="E52" s="43" t="n"/>
      <c r="F52" s="12" t="n">
        <v>48</v>
      </c>
      <c r="G52" s="12" t="inlineStr"/>
      <c r="H52" s="16" t="n">
        <v>1270000</v>
      </c>
      <c r="I52" s="16" t="n">
        <v>1235000</v>
      </c>
      <c r="J52" s="16" t="n">
        <v>1295000</v>
      </c>
      <c r="K52" s="43" t="n"/>
      <c r="L52" s="43" t="n"/>
      <c r="M52" s="43" t="n"/>
      <c r="N52" s="43" t="n"/>
      <c r="O52" s="43" t="n"/>
      <c r="P52" s="43" t="n"/>
      <c r="Q52" s="43" t="n"/>
    </row>
    <row r="53">
      <c r="A53" s="43" t="n"/>
      <c r="B53" s="43" t="n"/>
      <c r="C53" s="43" t="n"/>
      <c r="D53" s="43" t="n"/>
      <c r="E53" s="43" t="n"/>
      <c r="F53" s="12" t="n">
        <v>49</v>
      </c>
      <c r="G53" s="12" t="inlineStr"/>
      <c r="H53" s="16" t="n">
        <v>1330000</v>
      </c>
      <c r="I53" s="16" t="n">
        <v>1295000</v>
      </c>
      <c r="J53" s="16" t="n">
        <v>1355000</v>
      </c>
      <c r="K53" s="43" t="n"/>
      <c r="L53" s="43" t="n"/>
      <c r="M53" s="43" t="n"/>
      <c r="N53" s="43" t="n"/>
      <c r="O53" s="43" t="n"/>
      <c r="P53" s="43" t="n"/>
      <c r="Q53" s="43" t="n"/>
    </row>
    <row r="54">
      <c r="A54" s="43" t="n"/>
      <c r="B54" s="43" t="n"/>
      <c r="C54" s="43" t="n"/>
      <c r="D54" s="43" t="n"/>
      <c r="E54" s="43" t="n"/>
      <c r="F54" s="12" t="n">
        <v>50</v>
      </c>
      <c r="G54" s="12" t="inlineStr"/>
      <c r="H54" s="16" t="n">
        <v>1390000</v>
      </c>
      <c r="I54" s="16" t="n">
        <v>1355000</v>
      </c>
      <c r="J54" s="16" t="inlineStr">
        <is>
          <t>上限なし</t>
        </is>
      </c>
      <c r="K54" s="43" t="n"/>
      <c r="L54" s="43" t="n"/>
      <c r="M54" s="43" t="n"/>
      <c r="N54" s="43" t="n"/>
      <c r="O54" s="43" t="n"/>
      <c r="P54" s="43" t="n"/>
      <c r="Q54" s="43" t="n"/>
    </row>
    <row r="55">
      <c r="A55" s="43" t="n"/>
      <c r="B55" s="43" t="n"/>
      <c r="C55" s="43" t="n"/>
      <c r="D55" s="43" t="n"/>
      <c r="E55" s="43" t="n"/>
      <c r="F55" s="43" t="n"/>
      <c r="G55" s="43" t="n"/>
      <c r="H55" s="43" t="n"/>
      <c r="I55" s="43" t="n"/>
      <c r="J55" s="43" t="n"/>
      <c r="K55" s="43" t="n"/>
      <c r="L55" s="43" t="n"/>
      <c r="M55" s="43" t="n"/>
      <c r="N55" s="43" t="n"/>
      <c r="O55" s="43" t="n"/>
      <c r="P55" s="43" t="n"/>
      <c r="Q55" s="43" t="n"/>
    </row>
    <row r="56">
      <c r="A56" s="43" t="n"/>
      <c r="B56" s="43" t="n"/>
      <c r="C56" s="43" t="n"/>
      <c r="D56" s="43" t="n"/>
      <c r="E56" s="43" t="n"/>
      <c r="F56" s="43" t="n"/>
      <c r="G56" s="43" t="n"/>
      <c r="H56" s="43" t="n"/>
      <c r="I56" s="43" t="n"/>
      <c r="J56" s="43" t="n"/>
      <c r="K56" s="43" t="n"/>
      <c r="L56" s="43" t="n"/>
      <c r="M56" s="43" t="n"/>
      <c r="N56" s="43" t="n"/>
      <c r="O56" s="43" t="n"/>
      <c r="P56" s="43" t="n"/>
      <c r="Q56" s="43" t="n"/>
    </row>
    <row r="57">
      <c r="A57" s="46" t="inlineStr">
        <is>
          <t>出典（2026-09-30 確認）</t>
        </is>
      </c>
      <c r="B57" s="43" t="n"/>
      <c r="C57" s="43" t="n"/>
      <c r="D57" s="43" t="n"/>
      <c r="E57" s="43" t="n"/>
      <c r="F57" s="43" t="n"/>
      <c r="G57" s="43" t="n"/>
      <c r="H57" s="43" t="n"/>
      <c r="I57" s="43" t="n"/>
      <c r="J57" s="43" t="n"/>
      <c r="K57" s="43" t="n"/>
      <c r="L57" s="43" t="n"/>
      <c r="M57" s="43" t="n"/>
      <c r="N57" s="43" t="n"/>
      <c r="O57" s="43" t="n"/>
      <c r="P57" s="43" t="n"/>
      <c r="Q57" s="43" t="n"/>
    </row>
    <row r="58">
      <c r="A58" s="52" t="inlineStr">
        <is>
          <t>健康保険料率（都道府県別）</t>
        </is>
      </c>
      <c r="B58" s="43" t="n"/>
      <c r="C58" s="43" t="n"/>
      <c r="D58" s="44" t="inlineStr">
        <is>
          <t>協会けんぽ 令和8年度都道府県単位保険料率　https://www.kyoukaikenpo.or.jp/about/business/insurance_rate/rate_prefectures/r08/</t>
        </is>
      </c>
      <c r="E58" s="43" t="n"/>
      <c r="F58" s="43" t="n"/>
      <c r="G58" s="43" t="n"/>
      <c r="H58" s="43" t="n"/>
      <c r="I58" s="43" t="n"/>
      <c r="J58" s="43" t="n"/>
      <c r="K58" s="43" t="n"/>
      <c r="L58" s="43" t="n"/>
      <c r="M58" s="43" t="n"/>
      <c r="N58" s="43" t="n"/>
      <c r="O58" s="43" t="n"/>
      <c r="P58" s="43" t="n"/>
      <c r="Q58" s="43" t="n"/>
    </row>
    <row r="59">
      <c r="A59" s="52" t="inlineStr">
        <is>
          <t>標準報酬月額の等級表</t>
        </is>
      </c>
      <c r="B59" s="43" t="n"/>
      <c r="C59" s="43" t="n"/>
      <c r="D59" s="44" t="inlineStr">
        <is>
          <t>協会けんぽ 令和8年3月分からの保険料額表（東京支部）　https://www.kyoukaikenpo.or.jp/assets/R8_13tokyo.pdf</t>
        </is>
      </c>
      <c r="E59" s="43" t="n"/>
      <c r="F59" s="43" t="n"/>
      <c r="G59" s="43" t="n"/>
      <c r="H59" s="43" t="n"/>
      <c r="I59" s="43" t="n"/>
      <c r="J59" s="43" t="n"/>
      <c r="K59" s="43" t="n"/>
      <c r="L59" s="43" t="n"/>
      <c r="M59" s="43" t="n"/>
      <c r="N59" s="43" t="n"/>
      <c r="O59" s="43" t="n"/>
      <c r="P59" s="43" t="n"/>
      <c r="Q59" s="43" t="n"/>
    </row>
    <row r="60">
      <c r="A60" s="52" t="inlineStr">
        <is>
          <t>子ども・子育て支援金率</t>
        </is>
      </c>
      <c r="B60" s="43" t="n"/>
      <c r="C60" s="43" t="n"/>
      <c r="D60" s="44" t="inlineStr">
        <is>
          <t>協会けんぽ 子ども・子育て支援金率について　https://www.kyoukaikenpo.or.jp/about/business/insurance_rate/003/index.html</t>
        </is>
      </c>
      <c r="E60" s="43" t="n"/>
      <c r="F60" s="43" t="n"/>
      <c r="G60" s="43" t="n"/>
      <c r="H60" s="43" t="n"/>
      <c r="I60" s="43" t="n"/>
      <c r="J60" s="43" t="n"/>
      <c r="K60" s="43" t="n"/>
      <c r="L60" s="43" t="n"/>
      <c r="M60" s="43" t="n"/>
      <c r="N60" s="43" t="n"/>
      <c r="O60" s="43" t="n"/>
      <c r="P60" s="43" t="n"/>
      <c r="Q60" s="43" t="n"/>
    </row>
    <row r="61">
      <c r="A61" s="52" t="inlineStr">
        <is>
          <t>介護保険料率</t>
        </is>
      </c>
      <c r="B61" s="43" t="n"/>
      <c r="C61" s="43" t="n"/>
      <c r="D61" s="44" t="inlineStr">
        <is>
          <t>協会けんぽ 介護保険料率について　https://www.kyoukaikenpo.or.jp/about/business/insurance_rate/002/index.html</t>
        </is>
      </c>
      <c r="E61" s="43" t="n"/>
      <c r="F61" s="43" t="n"/>
      <c r="G61" s="43" t="n"/>
      <c r="H61" s="43" t="n"/>
      <c r="I61" s="43" t="n"/>
      <c r="J61" s="43" t="n"/>
      <c r="K61" s="43" t="n"/>
      <c r="L61" s="43" t="n"/>
      <c r="M61" s="43" t="n"/>
      <c r="N61" s="43" t="n"/>
      <c r="O61" s="43" t="n"/>
      <c r="P61" s="43" t="n"/>
      <c r="Q61" s="43" t="n"/>
    </row>
    <row r="62">
      <c r="A62" s="52" t="inlineStr">
        <is>
          <t>厚生年金保険料率</t>
        </is>
      </c>
      <c r="B62" s="43" t="n"/>
      <c r="C62" s="43" t="n"/>
      <c r="D62" s="44" t="inlineStr">
        <is>
          <t>日本年金機構 厚生年金保険料額表　https://www.nenkin.go.jp/service/kounen/hokenryo/ryogaku/ryogakuhyo/index.html</t>
        </is>
      </c>
      <c r="E62" s="43" t="n"/>
      <c r="F62" s="43" t="n"/>
      <c r="G62" s="43" t="n"/>
      <c r="H62" s="43" t="n"/>
      <c r="I62" s="43" t="n"/>
      <c r="J62" s="43" t="n"/>
      <c r="K62" s="43" t="n"/>
      <c r="L62" s="43" t="n"/>
      <c r="M62" s="43" t="n"/>
      <c r="N62" s="43" t="n"/>
      <c r="O62" s="43" t="n"/>
      <c r="P62" s="43" t="n"/>
      <c r="Q62" s="43" t="n"/>
    </row>
    <row r="63">
      <c r="A63" s="52" t="inlineStr">
        <is>
          <t>雇用保険料率</t>
        </is>
      </c>
      <c r="B63" s="43" t="n"/>
      <c r="C63" s="43" t="n"/>
      <c r="D63" s="44" t="inlineStr">
        <is>
          <t>厚生労働省 令和8年度雇用保険料率のご案内　https://www.mhlw.go.jp/content/001692566.pdf</t>
        </is>
      </c>
      <c r="E63" s="43" t="n"/>
      <c r="F63" s="43" t="n"/>
      <c r="G63" s="43" t="n"/>
      <c r="H63" s="43" t="n"/>
      <c r="I63" s="43" t="n"/>
      <c r="J63" s="43" t="n"/>
      <c r="K63" s="43" t="n"/>
      <c r="L63" s="43" t="n"/>
      <c r="M63" s="43" t="n"/>
      <c r="N63" s="43" t="n"/>
      <c r="O63" s="43" t="n"/>
      <c r="P63" s="43" t="n"/>
      <c r="Q63" s="43" t="n"/>
    </row>
    <row r="64">
      <c r="A64" s="52" t="inlineStr">
        <is>
          <t>源泉所得税（電算機計算の特例）</t>
        </is>
      </c>
      <c r="B64" s="43" t="n"/>
      <c r="C64" s="43" t="n"/>
      <c r="D64" s="44" t="inlineStr">
        <is>
          <t>国税庁 月額表の甲欄を適用する給与等に対する税額の電算機計算の特例について（令和8年分）　https://www.nta.go.jp/publication/pamph/gensen/zeigakuhyo2026/data/denshi_01.pdf</t>
        </is>
      </c>
      <c r="E64" s="43" t="n"/>
      <c r="F64" s="43" t="n"/>
      <c r="G64" s="43" t="n"/>
      <c r="H64" s="43" t="n"/>
      <c r="I64" s="43" t="n"/>
      <c r="J64" s="43" t="n"/>
      <c r="K64" s="43" t="n"/>
      <c r="L64" s="43" t="n"/>
      <c r="M64" s="43" t="n"/>
      <c r="N64" s="43" t="n"/>
      <c r="O64" s="43" t="n"/>
      <c r="P64" s="43" t="n"/>
      <c r="Q64" s="43" t="n"/>
    </row>
  </sheetData>
  <mergeCells count="24">
    <mergeCell ref="D59:Q59"/>
    <mergeCell ref="O32:Q32"/>
    <mergeCell ref="O4:Q4"/>
    <mergeCell ref="D60:Q60"/>
    <mergeCell ref="D63:Q63"/>
    <mergeCell ref="A1:Q1"/>
    <mergeCell ref="O12:Q12"/>
    <mergeCell ref="A62:C62"/>
    <mergeCell ref="D61:Q61"/>
    <mergeCell ref="O11:Q11"/>
    <mergeCell ref="A63:C63"/>
    <mergeCell ref="O23:Q23"/>
    <mergeCell ref="A58:C58"/>
    <mergeCell ref="A57:Q57"/>
    <mergeCell ref="A2:Q2"/>
    <mergeCell ref="A59:C59"/>
    <mergeCell ref="O3:Q3"/>
    <mergeCell ref="D62:Q62"/>
    <mergeCell ref="A64:C64"/>
    <mergeCell ref="D58:Q58"/>
    <mergeCell ref="A60:C60"/>
    <mergeCell ref="O15:Q15"/>
    <mergeCell ref="A61:C61"/>
    <mergeCell ref="D64:Q64"/>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2026-09-30T12:16:38Z</dcterms:created>
  <dcterms:modified xmlns:dcterms="http://purl.org/dc/terms/" xmlns:xsi="http://www.w3.org/2001/XMLSchema-instance" xsi:type="dcterms:W3CDTF">2026-09-30T12:16:38Z</dcterms:modified>
</cp:coreProperties>
</file>