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顧客一覧" sheetId="1" state="visible" r:id="rId1"/>
    <sheet xmlns:r="http://schemas.openxmlformats.org/officeDocument/2006/relationships" name="対応履歴" sheetId="2" state="visible" r:id="rId2"/>
    <sheet xmlns:r="http://schemas.openxmlformats.org/officeDocument/2006/relationships" name="顧客カルテ" sheetId="3" state="visible" r:id="rId3"/>
    <sheet xmlns:r="http://schemas.openxmlformats.org/officeDocument/2006/relationships" name="次回アクション" sheetId="4" state="visible" r:id="rId4"/>
    <sheet xmlns:r="http://schemas.openxmlformats.org/officeDocument/2006/relationships" name="例_顧客一覧" sheetId="5" state="visible" r:id="rId5"/>
    <sheet xmlns:r="http://schemas.openxmlformats.org/officeDocument/2006/relationships" name="例_対応履歴" sheetId="6" state="visible" r:id="rId6"/>
    <sheet xmlns:r="http://schemas.openxmlformats.org/officeDocument/2006/relationships" name="例_顧客カルテ" sheetId="7" state="visible" r:id="rId7"/>
    <sheet xmlns:r="http://schemas.openxmlformats.org/officeDocument/2006/relationships" name="例_次回アクション" sheetId="8" state="visible" r:id="rId8"/>
    <sheet xmlns:r="http://schemas.openxmlformats.org/officeDocument/2006/relationships" name="使い方" sheetId="9" state="visible" r:id="rId9"/>
  </sheets>
  <definedNames>
    <definedName name="_xlnm._FilterDatabase" localSheetId="0" hidden="1">'顧客一覧'!$A$4:$P$104</definedName>
    <definedName name="_xlnm.Print_Titles" localSheetId="0">'顧客一覧'!$4:$4</definedName>
    <definedName name="_xlnm._FilterDatabase" localSheetId="1" hidden="1">'対応履歴'!$A$4:$K$304</definedName>
    <definedName name="_xlnm.Print_Titles" localSheetId="1">'対応履歴'!$4:$4</definedName>
    <definedName name="_xlnm.Print_Area" localSheetId="2">'顧客カルテ'!$A$1:$F$34</definedName>
    <definedName name="_xlnm.Print_Titles" localSheetId="3">'次回アクション'!$4:$4</definedName>
    <definedName name="_xlnm._FilterDatabase" localSheetId="4" hidden="1">'例_顧客一覧'!$A$4:$P$104</definedName>
    <definedName name="_xlnm.Print_Titles" localSheetId="4">'例_顧客一覧'!$4:$4</definedName>
    <definedName name="_xlnm._FilterDatabase" localSheetId="5" hidden="1">'例_対応履歴'!$A$4:$K$304</definedName>
    <definedName name="_xlnm.Print_Titles" localSheetId="5">'例_対応履歴'!$4:$4</definedName>
    <definedName name="_xlnm.Print_Area" localSheetId="6">'例_顧客カルテ'!$A$1:$F$34</definedName>
    <definedName name="_xlnm.Print_Titles" localSheetId="7">'例_次回アクション'!$4:$4</definedName>
  </definedNames>
  <calcPr calcId="124519" fullCalcOnLoad="1"/>
</workbook>
</file>

<file path=xl/styles.xml><?xml version="1.0" encoding="utf-8"?>
<styleSheet xmlns="http://schemas.openxmlformats.org/spreadsheetml/2006/main">
  <numFmts count="3">
    <numFmt numFmtId="164" formatCode="yyyy/m/d"/>
    <numFmt numFmtId="165" formatCode="0.00000"/>
    <numFmt numFmtId="166" formatCode="0&quot;件&quot;"/>
  </numFmts>
  <fonts count="13">
    <font>
      <name val="Calibri"/>
      <family val="2"/>
      <color theme="1"/>
      <sz val="11"/>
      <scheme val="minor"/>
    </font>
    <font>
      <name val="Yu Gothic"/>
      <b val="1"/>
      <color rgb="00FFFFFF"/>
      <sz val="13"/>
    </font>
    <font>
      <name val="Yu Gothic"/>
      <color rgb="0066707A"/>
      <sz val="9"/>
    </font>
    <font>
      <name val="Yu Gothic"/>
      <b val="1"/>
      <color rgb="00FFFFFF"/>
      <sz val="10"/>
    </font>
    <font>
      <name val="Yu Gothic"/>
      <color rgb="001A1A1A"/>
      <sz val="10"/>
    </font>
    <font>
      <name val="Yu Gothic"/>
      <color rgb="0066707A"/>
      <sz val="8"/>
    </font>
    <font>
      <name val="Yu Gothic"/>
      <b val="1"/>
      <color rgb="001B3A5C"/>
      <sz val="10"/>
    </font>
    <font>
      <name val="Yu Gothic"/>
      <b val="1"/>
      <color rgb="001B3A5C"/>
      <sz val="12"/>
    </font>
    <font>
      <name val="Yu Gothic"/>
      <b val="1"/>
      <color rgb="001B3A5C"/>
      <sz val="11"/>
    </font>
    <font>
      <name val="Yu Gothic"/>
      <color theme="1"/>
      <sz val="11"/>
    </font>
    <font>
      <name val="Yu Gothic"/>
      <b val="1"/>
      <color rgb="FF1B3A5C"/>
      <sz val="10"/>
    </font>
    <font>
      <name val="Yu Gothic"/>
      <b val="1"/>
      <color rgb="FF1B3A5C"/>
      <sz val="12"/>
    </font>
    <font>
      <name val="Yu Gothic"/>
      <b val="1"/>
      <color rgb="FF1B3A5C"/>
      <sz val="11"/>
    </font>
  </fonts>
  <fills count="7">
    <fill>
      <patternFill/>
    </fill>
    <fill>
      <patternFill patternType="gray125"/>
    </fill>
    <fill>
      <patternFill patternType="solid">
        <fgColor rgb="001B3A5C"/>
      </patternFill>
    </fill>
    <fill>
      <patternFill patternType="solid">
        <fgColor rgb="004A5D73"/>
      </patternFill>
    </fill>
    <fill>
      <patternFill patternType="solid">
        <fgColor rgb="0066707A"/>
      </patternFill>
    </fill>
    <fill>
      <patternFill patternType="solid">
        <fgColor rgb="00FFF9E6"/>
      </patternFill>
    </fill>
    <fill>
      <patternFill patternType="solid">
        <fgColor rgb="00F2F2EF"/>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style="thin">
        <color rgb="00B9C4CF"/>
      </right>
      <top style="thin">
        <color rgb="00B9C4CF"/>
      </top>
      <bottom style="thin">
        <color rgb="00B9C4CF"/>
      </bottom>
    </border>
    <border>
      <left/>
      <right/>
      <top style="thin">
        <color rgb="00B9C4CF"/>
      </top>
      <bottom style="thin">
        <color rgb="00B9C4CF"/>
      </bottom>
    </border>
  </borders>
  <cellStyleXfs count="1">
    <xf numFmtId="0" fontId="0" fillId="0" borderId="0"/>
  </cellStyleXfs>
  <cellXfs count="41">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4" fillId="5" borderId="1" applyAlignment="1" pivotButton="0" quotePrefix="0" xfId="0">
      <alignment horizontal="center" vertical="center" wrapText="1"/>
    </xf>
    <xf numFmtId="0" fontId="4" fillId="5" borderId="1" applyAlignment="1" pivotButton="0" quotePrefix="0" xfId="0">
      <alignment horizontal="left" vertical="center" wrapText="1"/>
    </xf>
    <xf numFmtId="164" fontId="4" fillId="6"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6" borderId="1" applyAlignment="1" pivotButton="0" quotePrefix="0" xfId="0">
      <alignment horizontal="left" vertical="center" wrapText="1"/>
    </xf>
    <xf numFmtId="165" fontId="5" fillId="0" borderId="1" applyAlignment="1" pivotButton="0" quotePrefix="0" xfId="0">
      <alignment horizontal="left" vertical="center" wrapText="1"/>
    </xf>
    <xf numFmtId="164" fontId="4" fillId="5" borderId="1" applyAlignment="1" pivotButton="0" quotePrefix="0" xfId="0">
      <alignment horizontal="center" vertical="center" wrapText="1"/>
    </xf>
    <xf numFmtId="0" fontId="4" fillId="5" borderId="1" applyAlignment="1" pivotButton="0" quotePrefix="0" xfId="0">
      <alignment horizontal="left" vertical="top" wrapText="1"/>
    </xf>
    <xf numFmtId="0" fontId="5" fillId="0" borderId="0" pivotButton="0" quotePrefix="0" xfId="0"/>
    <xf numFmtId="0" fontId="6" fillId="6" borderId="1" applyAlignment="1" pivotButton="0" quotePrefix="0" xfId="0">
      <alignment horizontal="center" vertical="center" wrapText="1"/>
    </xf>
    <xf numFmtId="0" fontId="0" fillId="0" borderId="1" pivotButton="0" quotePrefix="0" xfId="0"/>
    <xf numFmtId="0" fontId="7" fillId="5" borderId="1" applyAlignment="1" pivotButton="0" quotePrefix="0" xfId="0">
      <alignment horizontal="center" vertical="center" wrapText="1"/>
    </xf>
    <xf numFmtId="0" fontId="4" fillId="0" borderId="1" applyAlignment="1" pivotButton="0" quotePrefix="0" xfId="0">
      <alignment horizontal="left" vertical="center" wrapText="1"/>
    </xf>
    <xf numFmtId="164" fontId="4" fillId="0" borderId="1" applyAlignment="1" pivotButton="0" quotePrefix="0" xfId="0">
      <alignment horizontal="left" vertical="center" wrapText="1"/>
    </xf>
    <xf numFmtId="166" fontId="4" fillId="0" borderId="1" applyAlignment="1" pivotButton="0" quotePrefix="0" xfId="0">
      <alignment horizontal="left" vertical="center" wrapText="1"/>
    </xf>
    <xf numFmtId="164"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applyAlignment="1" pivotButton="0" quotePrefix="0" xfId="0">
      <alignment horizontal="left" vertical="top" wrapText="1"/>
    </xf>
    <xf numFmtId="164" fontId="8" fillId="5" borderId="1" applyAlignment="1" pivotButton="0" quotePrefix="0" xfId="0">
      <alignment horizontal="center" vertical="center" wrapText="1"/>
    </xf>
    <xf numFmtId="1" fontId="4" fillId="0" borderId="1" applyAlignment="1" pivotButton="0" quotePrefix="0" xfId="0">
      <alignment horizontal="center" vertical="center" wrapText="1"/>
    </xf>
    <xf numFmtId="0" fontId="6" fillId="6" borderId="0" applyAlignment="1" pivotButton="0" quotePrefix="0" xfId="0">
      <alignment horizontal="left" vertical="center" wrapText="1"/>
    </xf>
    <xf numFmtId="0" fontId="0" fillId="6" borderId="0" pivotButton="0" quotePrefix="0" xfId="0"/>
    <xf numFmtId="0" fontId="4" fillId="0" borderId="0" applyAlignment="1" pivotButton="0" quotePrefix="0" xfId="0">
      <alignment horizontal="left" vertical="top" wrapText="1"/>
    </xf>
    <xf numFmtId="0" fontId="1" fillId="2" borderId="6" applyAlignment="1" pivotButton="0" quotePrefix="0" xfId="0">
      <alignment horizontal="left" vertical="center" wrapText="1"/>
    </xf>
    <xf numFmtId="0" fontId="9" fillId="0" borderId="6" pivotButton="0" quotePrefix="0" xfId="0"/>
    <xf numFmtId="0" fontId="2" fillId="0" borderId="6" applyAlignment="1" pivotButton="0" quotePrefix="0" xfId="0">
      <alignment horizontal="left" vertical="center" wrapText="1"/>
    </xf>
    <xf numFmtId="0" fontId="5" fillId="0" borderId="6" pivotButton="0" quotePrefix="0" xfId="0"/>
    <xf numFmtId="0" fontId="10" fillId="6" borderId="1" applyAlignment="1" pivotButton="0" quotePrefix="0" xfId="0">
      <alignment horizontal="center" vertical="center" wrapText="1"/>
    </xf>
    <xf numFmtId="0" fontId="9" fillId="0" borderId="7" pivotButton="0" quotePrefix="0" xfId="0"/>
    <xf numFmtId="0" fontId="11" fillId="5" borderId="1" applyAlignment="1" pivotButton="0" quotePrefix="0" xfId="0">
      <alignment horizontal="center" vertical="center" wrapText="1"/>
    </xf>
    <xf numFmtId="0" fontId="9" fillId="0" borderId="8" pivotButton="0" quotePrefix="0" xfId="0"/>
    <xf numFmtId="164" fontId="12" fillId="5" borderId="1" applyAlignment="1" pivotButton="0" quotePrefix="0" xfId="0">
      <alignment horizontal="center" vertical="center" wrapText="1"/>
    </xf>
    <xf numFmtId="0" fontId="10" fillId="6" borderId="6" applyAlignment="1" pivotButton="0" quotePrefix="0" xfId="0">
      <alignment horizontal="left" vertical="center" wrapText="1"/>
    </xf>
    <xf numFmtId="0" fontId="4" fillId="0" borderId="6" applyAlignment="1" pivotButton="0" quotePrefix="0" xfId="0">
      <alignment horizontal="left" vertical="top" wrapText="1"/>
    </xf>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B3A5C"/>
    <outlinePr summaryBelow="1" summaryRight="1"/>
    <pageSetUpPr fitToPage="1"/>
  </sheetPr>
  <dimension ref="A1:P104"/>
  <sheetViews>
    <sheetView showGridLines="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7" customWidth="1" min="2" max="2"/>
    <col width="24" customWidth="1" min="3" max="3"/>
    <col width="21" customWidth="1" min="4" max="4"/>
    <col width="14" customWidth="1" min="5" max="5"/>
    <col width="26" customWidth="1" min="6" max="6"/>
    <col width="9" customWidth="1" min="7" max="7"/>
    <col width="9" customWidth="1" min="8" max="8"/>
    <col width="26" customWidth="1" min="9" max="9"/>
    <col width="12" customWidth="1" min="10" max="10"/>
    <col width="8" customWidth="1" min="11" max="11"/>
    <col width="28" customWidth="1" min="12" max="12"/>
    <col width="12" customWidth="1" min="13" max="13"/>
    <col width="15" customWidth="1" min="14" max="14"/>
    <col width="10" customWidth="1" min="15" max="15"/>
    <col width="10" customWidth="1" min="16" max="16"/>
  </cols>
  <sheetData>
    <row r="1" ht="24" customHeight="1">
      <c r="A1" s="30" t="inlineStr">
        <is>
          <t>顧客一覧</t>
        </is>
      </c>
      <c r="B1" s="31" t="n"/>
      <c r="C1" s="31" t="n"/>
      <c r="D1" s="31" t="n"/>
      <c r="E1" s="31" t="n"/>
      <c r="F1" s="31" t="n"/>
      <c r="G1" s="31" t="n"/>
      <c r="H1" s="31" t="n"/>
      <c r="I1" s="31" t="n"/>
      <c r="J1" s="31" t="n"/>
      <c r="K1" s="31" t="n"/>
      <c r="L1" s="31" t="n"/>
      <c r="M1" s="31" t="n"/>
      <c r="N1" s="31" t="n"/>
      <c r="O1" s="31" t="n"/>
      <c r="P1" s="31" t="n"/>
    </row>
    <row r="2" ht="26" customHeight="1">
      <c r="A2" s="32" t="inlineStr">
        <is>
          <t>黄色は入力、灰色は数式です（触らない）。最終対応日・対応回数・次回アクション・状況は「対応履歴」から自動で出ます。</t>
        </is>
      </c>
      <c r="B2" s="31" t="n"/>
      <c r="C2" s="31" t="n"/>
      <c r="D2" s="31" t="n"/>
      <c r="E2" s="31" t="n"/>
      <c r="F2" s="31" t="n"/>
      <c r="G2" s="31" t="n"/>
      <c r="H2" s="31" t="n"/>
      <c r="I2" s="31" t="n"/>
      <c r="J2" s="31" t="n"/>
      <c r="K2" s="31" t="n"/>
      <c r="L2" s="31" t="n"/>
      <c r="M2" s="31" t="n"/>
      <c r="N2" s="31" t="n"/>
      <c r="O2" s="31" t="n"/>
      <c r="P2" s="31" t="n"/>
    </row>
    <row r="3" ht="15" customHeight="1">
      <c r="A3" s="31" t="n"/>
      <c r="B3" s="31" t="n"/>
      <c r="C3" s="31" t="n"/>
      <c r="D3" s="31" t="n"/>
      <c r="E3" s="31" t="n"/>
      <c r="F3" s="31" t="n"/>
      <c r="G3" s="31" t="n"/>
      <c r="H3" s="31" t="n"/>
      <c r="I3" s="31" t="n"/>
      <c r="J3" s="32" t="inlineStr">
        <is>
          <t>▼ 対応履歴から自動で出る列</t>
        </is>
      </c>
      <c r="K3" s="31" t="n"/>
      <c r="L3" s="31" t="n"/>
      <c r="M3" s="31" t="n"/>
      <c r="N3" s="31" t="n"/>
      <c r="O3" s="32" t="inlineStr">
        <is>
          <t>▼ 作業列</t>
        </is>
      </c>
      <c r="P3" s="31" t="n"/>
    </row>
    <row r="4" ht="30" customHeight="1">
      <c r="A4" s="4" t="inlineStr">
        <is>
          <t>顧客ID</t>
        </is>
      </c>
      <c r="B4" s="4" t="inlineStr">
        <is>
          <t>区分</t>
        </is>
      </c>
      <c r="C4" s="4" t="inlineStr">
        <is>
          <t>会社名・氏名</t>
        </is>
      </c>
      <c r="D4" s="4" t="inlineStr">
        <is>
          <t>先方の担当者</t>
        </is>
      </c>
      <c r="E4" s="4" t="inlineStr">
        <is>
          <t>電話</t>
        </is>
      </c>
      <c r="F4" s="4" t="inlineStr">
        <is>
          <t>メール</t>
        </is>
      </c>
      <c r="G4" s="4" t="inlineStr">
        <is>
          <t>自社担当</t>
        </is>
      </c>
      <c r="H4" s="4" t="inlineStr">
        <is>
          <t>見込み度</t>
        </is>
      </c>
      <c r="I4" s="4" t="inlineStr">
        <is>
          <t>備考</t>
        </is>
      </c>
      <c r="J4" s="5" t="inlineStr">
        <is>
          <t>最終対応日</t>
        </is>
      </c>
      <c r="K4" s="5" t="inlineStr">
        <is>
          <t>対応回数</t>
        </is>
      </c>
      <c r="L4" s="5" t="inlineStr">
        <is>
          <t>次回アクション</t>
        </is>
      </c>
      <c r="M4" s="5" t="inlineStr">
        <is>
          <t>次回アクション日</t>
        </is>
      </c>
      <c r="N4" s="5" t="inlineStr">
        <is>
          <t>状況</t>
        </is>
      </c>
      <c r="O4" s="6" t="inlineStr">
        <is>
          <t>並べ替え用</t>
        </is>
      </c>
      <c r="P4" s="6" t="inlineStr">
        <is>
          <t>最新行キー</t>
        </is>
      </c>
    </row>
    <row r="5">
      <c r="A5" s="7" t="n"/>
      <c r="B5" s="7" t="n"/>
      <c r="C5" s="8" t="n"/>
      <c r="D5" s="8" t="n"/>
      <c r="E5" s="8" t="n"/>
      <c r="F5" s="8" t="n"/>
      <c r="G5" s="7" t="n"/>
      <c r="H5" s="7" t="n"/>
      <c r="I5" s="8" t="n"/>
      <c r="J5" s="9">
        <f>IF($A5="","",IF($K5=0,"",_xlfn.MAXIFS('対応履歴'!$A$5:$A$304,'対応履歴'!$B$5:$B$304,$A5)))</f>
        <v/>
      </c>
      <c r="K5" s="10">
        <f>IF($A5="","",COUNTIF('対応履歴'!$B$5:$B$304,$A5))</f>
        <v/>
      </c>
      <c r="L5" s="11">
        <f>IF($P5="","",IFERROR(INDEX('対応履歴'!$G$5:$G$304,MATCH($P5,'対応履歴'!$J$5:$J$304,0))&amp;"",""))</f>
        <v/>
      </c>
      <c r="M5" s="9">
        <f>IF($P5="","",IFERROR(IF(INDEX('対応履歴'!$H$5:$H$304,MATCH($P5,'対応履歴'!$J$5:$J$304,0))="","",INDEX('対応履歴'!$H$5:$H$304,MATCH($P5,'対応履歴'!$J$5:$J$304,0))),""))</f>
        <v/>
      </c>
      <c r="N5" s="10">
        <f>IF($A5="","",IF($K5=0,"対応履歴なし",IF($M5="",IF($L5="","次回予定なし","期日未定"),IF($M5&lt;'次回アクション'!$B$2,"期日超過 "&amp;('次回アクション'!$B$2-$M5)&amp;"日",IF($M5='次回アクション'!$B$2,"今日","あと"&amp;($M5-'次回アクション'!$B$2)&amp;"日")))))</f>
        <v/>
      </c>
      <c r="O5" s="12">
        <f>IF($P5="","",IF($M5&lt;&gt;"",$M5+ROW()/100000,IF($L5&lt;&gt;"",100000+ROW()/100000,"")))</f>
        <v/>
      </c>
      <c r="P5" s="12">
        <f>IF(OR($A5="",$K5=0),"",_xlfn.MAXIFS('対応履歴'!$J$5:$J$304,'対応履歴'!$B$5:$B$304,$A5))</f>
        <v/>
      </c>
    </row>
    <row r="6">
      <c r="A6" s="7" t="n"/>
      <c r="B6" s="7" t="n"/>
      <c r="C6" s="8" t="n"/>
      <c r="D6" s="8" t="n"/>
      <c r="E6" s="8" t="n"/>
      <c r="F6" s="8" t="n"/>
      <c r="G6" s="7" t="n"/>
      <c r="H6" s="7" t="n"/>
      <c r="I6" s="8" t="n"/>
      <c r="J6" s="9">
        <f>IF($A6="","",IF($K6=0,"",_xlfn.MAXIFS('対応履歴'!$A$5:$A$304,'対応履歴'!$B$5:$B$304,$A6)))</f>
        <v/>
      </c>
      <c r="K6" s="10">
        <f>IF($A6="","",COUNTIF('対応履歴'!$B$5:$B$304,$A6))</f>
        <v/>
      </c>
      <c r="L6" s="11">
        <f>IF($P6="","",IFERROR(INDEX('対応履歴'!$G$5:$G$304,MATCH($P6,'対応履歴'!$J$5:$J$304,0))&amp;"",""))</f>
        <v/>
      </c>
      <c r="M6" s="9">
        <f>IF($P6="","",IFERROR(IF(INDEX('対応履歴'!$H$5:$H$304,MATCH($P6,'対応履歴'!$J$5:$J$304,0))="","",INDEX('対応履歴'!$H$5:$H$304,MATCH($P6,'対応履歴'!$J$5:$J$304,0))),""))</f>
        <v/>
      </c>
      <c r="N6" s="10">
        <f>IF($A6="","",IF($K6=0,"対応履歴なし",IF($M6="",IF($L6="","次回予定なし","期日未定"),IF($M6&lt;'次回アクション'!$B$2,"期日超過 "&amp;('次回アクション'!$B$2-$M6)&amp;"日",IF($M6='次回アクション'!$B$2,"今日","あと"&amp;($M6-'次回アクション'!$B$2)&amp;"日")))))</f>
        <v/>
      </c>
      <c r="O6" s="12">
        <f>IF($P6="","",IF($M6&lt;&gt;"",$M6+ROW()/100000,IF($L6&lt;&gt;"",100000+ROW()/100000,"")))</f>
        <v/>
      </c>
      <c r="P6" s="12">
        <f>IF(OR($A6="",$K6=0),"",_xlfn.MAXIFS('対応履歴'!$J$5:$J$304,'対応履歴'!$B$5:$B$304,$A6))</f>
        <v/>
      </c>
    </row>
    <row r="7">
      <c r="A7" s="7" t="n"/>
      <c r="B7" s="7" t="n"/>
      <c r="C7" s="8" t="n"/>
      <c r="D7" s="8" t="n"/>
      <c r="E7" s="8" t="n"/>
      <c r="F7" s="8" t="n"/>
      <c r="G7" s="7" t="n"/>
      <c r="H7" s="7" t="n"/>
      <c r="I7" s="8" t="n"/>
      <c r="J7" s="9">
        <f>IF($A7="","",IF($K7=0,"",_xlfn.MAXIFS('対応履歴'!$A$5:$A$304,'対応履歴'!$B$5:$B$304,$A7)))</f>
        <v/>
      </c>
      <c r="K7" s="10">
        <f>IF($A7="","",COUNTIF('対応履歴'!$B$5:$B$304,$A7))</f>
        <v/>
      </c>
      <c r="L7" s="11">
        <f>IF($P7="","",IFERROR(INDEX('対応履歴'!$G$5:$G$304,MATCH($P7,'対応履歴'!$J$5:$J$304,0))&amp;"",""))</f>
        <v/>
      </c>
      <c r="M7" s="9">
        <f>IF($P7="","",IFERROR(IF(INDEX('対応履歴'!$H$5:$H$304,MATCH($P7,'対応履歴'!$J$5:$J$304,0))="","",INDEX('対応履歴'!$H$5:$H$304,MATCH($P7,'対応履歴'!$J$5:$J$304,0))),""))</f>
        <v/>
      </c>
      <c r="N7" s="10">
        <f>IF($A7="","",IF($K7=0,"対応履歴なし",IF($M7="",IF($L7="","次回予定なし","期日未定"),IF($M7&lt;'次回アクション'!$B$2,"期日超過 "&amp;('次回アクション'!$B$2-$M7)&amp;"日",IF($M7='次回アクション'!$B$2,"今日","あと"&amp;($M7-'次回アクション'!$B$2)&amp;"日")))))</f>
        <v/>
      </c>
      <c r="O7" s="12">
        <f>IF($P7="","",IF($M7&lt;&gt;"",$M7+ROW()/100000,IF($L7&lt;&gt;"",100000+ROW()/100000,"")))</f>
        <v/>
      </c>
      <c r="P7" s="12">
        <f>IF(OR($A7="",$K7=0),"",_xlfn.MAXIFS('対応履歴'!$J$5:$J$304,'対応履歴'!$B$5:$B$304,$A7))</f>
        <v/>
      </c>
    </row>
    <row r="8">
      <c r="A8" s="7" t="n"/>
      <c r="B8" s="7" t="n"/>
      <c r="C8" s="8" t="n"/>
      <c r="D8" s="8" t="n"/>
      <c r="E8" s="8" t="n"/>
      <c r="F8" s="8" t="n"/>
      <c r="G8" s="7" t="n"/>
      <c r="H8" s="7" t="n"/>
      <c r="I8" s="8" t="n"/>
      <c r="J8" s="9">
        <f>IF($A8="","",IF($K8=0,"",_xlfn.MAXIFS('対応履歴'!$A$5:$A$304,'対応履歴'!$B$5:$B$304,$A8)))</f>
        <v/>
      </c>
      <c r="K8" s="10">
        <f>IF($A8="","",COUNTIF('対応履歴'!$B$5:$B$304,$A8))</f>
        <v/>
      </c>
      <c r="L8" s="11">
        <f>IF($P8="","",IFERROR(INDEX('対応履歴'!$G$5:$G$304,MATCH($P8,'対応履歴'!$J$5:$J$304,0))&amp;"",""))</f>
        <v/>
      </c>
      <c r="M8" s="9">
        <f>IF($P8="","",IFERROR(IF(INDEX('対応履歴'!$H$5:$H$304,MATCH($P8,'対応履歴'!$J$5:$J$304,0))="","",INDEX('対応履歴'!$H$5:$H$304,MATCH($P8,'対応履歴'!$J$5:$J$304,0))),""))</f>
        <v/>
      </c>
      <c r="N8" s="10">
        <f>IF($A8="","",IF($K8=0,"対応履歴なし",IF($M8="",IF($L8="","次回予定なし","期日未定"),IF($M8&lt;'次回アクション'!$B$2,"期日超過 "&amp;('次回アクション'!$B$2-$M8)&amp;"日",IF($M8='次回アクション'!$B$2,"今日","あと"&amp;($M8-'次回アクション'!$B$2)&amp;"日")))))</f>
        <v/>
      </c>
      <c r="O8" s="12">
        <f>IF($P8="","",IF($M8&lt;&gt;"",$M8+ROW()/100000,IF($L8&lt;&gt;"",100000+ROW()/100000,"")))</f>
        <v/>
      </c>
      <c r="P8" s="12">
        <f>IF(OR($A8="",$K8=0),"",_xlfn.MAXIFS('対応履歴'!$J$5:$J$304,'対応履歴'!$B$5:$B$304,$A8))</f>
        <v/>
      </c>
    </row>
    <row r="9">
      <c r="A9" s="7" t="n"/>
      <c r="B9" s="7" t="n"/>
      <c r="C9" s="8" t="n"/>
      <c r="D9" s="8" t="n"/>
      <c r="E9" s="8" t="n"/>
      <c r="F9" s="8" t="n"/>
      <c r="G9" s="7" t="n"/>
      <c r="H9" s="7" t="n"/>
      <c r="I9" s="8" t="n"/>
      <c r="J9" s="9">
        <f>IF($A9="","",IF($K9=0,"",_xlfn.MAXIFS('対応履歴'!$A$5:$A$304,'対応履歴'!$B$5:$B$304,$A9)))</f>
        <v/>
      </c>
      <c r="K9" s="10">
        <f>IF($A9="","",COUNTIF('対応履歴'!$B$5:$B$304,$A9))</f>
        <v/>
      </c>
      <c r="L9" s="11">
        <f>IF($P9="","",IFERROR(INDEX('対応履歴'!$G$5:$G$304,MATCH($P9,'対応履歴'!$J$5:$J$304,0))&amp;"",""))</f>
        <v/>
      </c>
      <c r="M9" s="9">
        <f>IF($P9="","",IFERROR(IF(INDEX('対応履歴'!$H$5:$H$304,MATCH($P9,'対応履歴'!$J$5:$J$304,0))="","",INDEX('対応履歴'!$H$5:$H$304,MATCH($P9,'対応履歴'!$J$5:$J$304,0))),""))</f>
        <v/>
      </c>
      <c r="N9" s="10">
        <f>IF($A9="","",IF($K9=0,"対応履歴なし",IF($M9="",IF($L9="","次回予定なし","期日未定"),IF($M9&lt;'次回アクション'!$B$2,"期日超過 "&amp;('次回アクション'!$B$2-$M9)&amp;"日",IF($M9='次回アクション'!$B$2,"今日","あと"&amp;($M9-'次回アクション'!$B$2)&amp;"日")))))</f>
        <v/>
      </c>
      <c r="O9" s="12">
        <f>IF($P9="","",IF($M9&lt;&gt;"",$M9+ROW()/100000,IF($L9&lt;&gt;"",100000+ROW()/100000,"")))</f>
        <v/>
      </c>
      <c r="P9" s="12">
        <f>IF(OR($A9="",$K9=0),"",_xlfn.MAXIFS('対応履歴'!$J$5:$J$304,'対応履歴'!$B$5:$B$304,$A9))</f>
        <v/>
      </c>
    </row>
    <row r="10">
      <c r="A10" s="7" t="n"/>
      <c r="B10" s="7" t="n"/>
      <c r="C10" s="8" t="n"/>
      <c r="D10" s="8" t="n"/>
      <c r="E10" s="8" t="n"/>
      <c r="F10" s="8" t="n"/>
      <c r="G10" s="7" t="n"/>
      <c r="H10" s="7" t="n"/>
      <c r="I10" s="8" t="n"/>
      <c r="J10" s="9">
        <f>IF($A10="","",IF($K10=0,"",_xlfn.MAXIFS('対応履歴'!$A$5:$A$304,'対応履歴'!$B$5:$B$304,$A10)))</f>
        <v/>
      </c>
      <c r="K10" s="10">
        <f>IF($A10="","",COUNTIF('対応履歴'!$B$5:$B$304,$A10))</f>
        <v/>
      </c>
      <c r="L10" s="11">
        <f>IF($P10="","",IFERROR(INDEX('対応履歴'!$G$5:$G$304,MATCH($P10,'対応履歴'!$J$5:$J$304,0))&amp;"",""))</f>
        <v/>
      </c>
      <c r="M10" s="9">
        <f>IF($P10="","",IFERROR(IF(INDEX('対応履歴'!$H$5:$H$304,MATCH($P10,'対応履歴'!$J$5:$J$304,0))="","",INDEX('対応履歴'!$H$5:$H$304,MATCH($P10,'対応履歴'!$J$5:$J$304,0))),""))</f>
        <v/>
      </c>
      <c r="N10" s="10">
        <f>IF($A10="","",IF($K10=0,"対応履歴なし",IF($M10="",IF($L10="","次回予定なし","期日未定"),IF($M10&lt;'次回アクション'!$B$2,"期日超過 "&amp;('次回アクション'!$B$2-$M10)&amp;"日",IF($M10='次回アクション'!$B$2,"今日","あと"&amp;($M10-'次回アクション'!$B$2)&amp;"日")))))</f>
        <v/>
      </c>
      <c r="O10" s="12">
        <f>IF($P10="","",IF($M10&lt;&gt;"",$M10+ROW()/100000,IF($L10&lt;&gt;"",100000+ROW()/100000,"")))</f>
        <v/>
      </c>
      <c r="P10" s="12">
        <f>IF(OR($A10="",$K10=0),"",_xlfn.MAXIFS('対応履歴'!$J$5:$J$304,'対応履歴'!$B$5:$B$304,$A10))</f>
        <v/>
      </c>
    </row>
    <row r="11">
      <c r="A11" s="7" t="n"/>
      <c r="B11" s="7" t="n"/>
      <c r="C11" s="8" t="n"/>
      <c r="D11" s="8" t="n"/>
      <c r="E11" s="8" t="n"/>
      <c r="F11" s="8" t="n"/>
      <c r="G11" s="7" t="n"/>
      <c r="H11" s="7" t="n"/>
      <c r="I11" s="8" t="n"/>
      <c r="J11" s="9">
        <f>IF($A11="","",IF($K11=0,"",_xlfn.MAXIFS('対応履歴'!$A$5:$A$304,'対応履歴'!$B$5:$B$304,$A11)))</f>
        <v/>
      </c>
      <c r="K11" s="10">
        <f>IF($A11="","",COUNTIF('対応履歴'!$B$5:$B$304,$A11))</f>
        <v/>
      </c>
      <c r="L11" s="11">
        <f>IF($P11="","",IFERROR(INDEX('対応履歴'!$G$5:$G$304,MATCH($P11,'対応履歴'!$J$5:$J$304,0))&amp;"",""))</f>
        <v/>
      </c>
      <c r="M11" s="9">
        <f>IF($P11="","",IFERROR(IF(INDEX('対応履歴'!$H$5:$H$304,MATCH($P11,'対応履歴'!$J$5:$J$304,0))="","",INDEX('対応履歴'!$H$5:$H$304,MATCH($P11,'対応履歴'!$J$5:$J$304,0))),""))</f>
        <v/>
      </c>
      <c r="N11" s="10">
        <f>IF($A11="","",IF($K11=0,"対応履歴なし",IF($M11="",IF($L11="","次回予定なし","期日未定"),IF($M11&lt;'次回アクション'!$B$2,"期日超過 "&amp;('次回アクション'!$B$2-$M11)&amp;"日",IF($M11='次回アクション'!$B$2,"今日","あと"&amp;($M11-'次回アクション'!$B$2)&amp;"日")))))</f>
        <v/>
      </c>
      <c r="O11" s="12">
        <f>IF($P11="","",IF($M11&lt;&gt;"",$M11+ROW()/100000,IF($L11&lt;&gt;"",100000+ROW()/100000,"")))</f>
        <v/>
      </c>
      <c r="P11" s="12">
        <f>IF(OR($A11="",$K11=0),"",_xlfn.MAXIFS('対応履歴'!$J$5:$J$304,'対応履歴'!$B$5:$B$304,$A11))</f>
        <v/>
      </c>
    </row>
    <row r="12">
      <c r="A12" s="7" t="n"/>
      <c r="B12" s="7" t="n"/>
      <c r="C12" s="8" t="n"/>
      <c r="D12" s="8" t="n"/>
      <c r="E12" s="8" t="n"/>
      <c r="F12" s="8" t="n"/>
      <c r="G12" s="7" t="n"/>
      <c r="H12" s="7" t="n"/>
      <c r="I12" s="8" t="n"/>
      <c r="J12" s="9">
        <f>IF($A12="","",IF($K12=0,"",_xlfn.MAXIFS('対応履歴'!$A$5:$A$304,'対応履歴'!$B$5:$B$304,$A12)))</f>
        <v/>
      </c>
      <c r="K12" s="10">
        <f>IF($A12="","",COUNTIF('対応履歴'!$B$5:$B$304,$A12))</f>
        <v/>
      </c>
      <c r="L12" s="11">
        <f>IF($P12="","",IFERROR(INDEX('対応履歴'!$G$5:$G$304,MATCH($P12,'対応履歴'!$J$5:$J$304,0))&amp;"",""))</f>
        <v/>
      </c>
      <c r="M12" s="9">
        <f>IF($P12="","",IFERROR(IF(INDEX('対応履歴'!$H$5:$H$304,MATCH($P12,'対応履歴'!$J$5:$J$304,0))="","",INDEX('対応履歴'!$H$5:$H$304,MATCH($P12,'対応履歴'!$J$5:$J$304,0))),""))</f>
        <v/>
      </c>
      <c r="N12" s="10">
        <f>IF($A12="","",IF($K12=0,"対応履歴なし",IF($M12="",IF($L12="","次回予定なし","期日未定"),IF($M12&lt;'次回アクション'!$B$2,"期日超過 "&amp;('次回アクション'!$B$2-$M12)&amp;"日",IF($M12='次回アクション'!$B$2,"今日","あと"&amp;($M12-'次回アクション'!$B$2)&amp;"日")))))</f>
        <v/>
      </c>
      <c r="O12" s="12">
        <f>IF($P12="","",IF($M12&lt;&gt;"",$M12+ROW()/100000,IF($L12&lt;&gt;"",100000+ROW()/100000,"")))</f>
        <v/>
      </c>
      <c r="P12" s="12">
        <f>IF(OR($A12="",$K12=0),"",_xlfn.MAXIFS('対応履歴'!$J$5:$J$304,'対応履歴'!$B$5:$B$304,$A12))</f>
        <v/>
      </c>
    </row>
    <row r="13">
      <c r="A13" s="7" t="n"/>
      <c r="B13" s="7" t="n"/>
      <c r="C13" s="8" t="n"/>
      <c r="D13" s="8" t="n"/>
      <c r="E13" s="8" t="n"/>
      <c r="F13" s="8" t="n"/>
      <c r="G13" s="7" t="n"/>
      <c r="H13" s="7" t="n"/>
      <c r="I13" s="8" t="n"/>
      <c r="J13" s="9">
        <f>IF($A13="","",IF($K13=0,"",_xlfn.MAXIFS('対応履歴'!$A$5:$A$304,'対応履歴'!$B$5:$B$304,$A13)))</f>
        <v/>
      </c>
      <c r="K13" s="10">
        <f>IF($A13="","",COUNTIF('対応履歴'!$B$5:$B$304,$A13))</f>
        <v/>
      </c>
      <c r="L13" s="11">
        <f>IF($P13="","",IFERROR(INDEX('対応履歴'!$G$5:$G$304,MATCH($P13,'対応履歴'!$J$5:$J$304,0))&amp;"",""))</f>
        <v/>
      </c>
      <c r="M13" s="9">
        <f>IF($P13="","",IFERROR(IF(INDEX('対応履歴'!$H$5:$H$304,MATCH($P13,'対応履歴'!$J$5:$J$304,0))="","",INDEX('対応履歴'!$H$5:$H$304,MATCH($P13,'対応履歴'!$J$5:$J$304,0))),""))</f>
        <v/>
      </c>
      <c r="N13" s="10">
        <f>IF($A13="","",IF($K13=0,"対応履歴なし",IF($M13="",IF($L13="","次回予定なし","期日未定"),IF($M13&lt;'次回アクション'!$B$2,"期日超過 "&amp;('次回アクション'!$B$2-$M13)&amp;"日",IF($M13='次回アクション'!$B$2,"今日","あと"&amp;($M13-'次回アクション'!$B$2)&amp;"日")))))</f>
        <v/>
      </c>
      <c r="O13" s="12">
        <f>IF($P13="","",IF($M13&lt;&gt;"",$M13+ROW()/100000,IF($L13&lt;&gt;"",100000+ROW()/100000,"")))</f>
        <v/>
      </c>
      <c r="P13" s="12">
        <f>IF(OR($A13="",$K13=0),"",_xlfn.MAXIFS('対応履歴'!$J$5:$J$304,'対応履歴'!$B$5:$B$304,$A13))</f>
        <v/>
      </c>
    </row>
    <row r="14">
      <c r="A14" s="7" t="n"/>
      <c r="B14" s="7" t="n"/>
      <c r="C14" s="8" t="n"/>
      <c r="D14" s="8" t="n"/>
      <c r="E14" s="8" t="n"/>
      <c r="F14" s="8" t="n"/>
      <c r="G14" s="7" t="n"/>
      <c r="H14" s="7" t="n"/>
      <c r="I14" s="8" t="n"/>
      <c r="J14" s="9">
        <f>IF($A14="","",IF($K14=0,"",_xlfn.MAXIFS('対応履歴'!$A$5:$A$304,'対応履歴'!$B$5:$B$304,$A14)))</f>
        <v/>
      </c>
      <c r="K14" s="10">
        <f>IF($A14="","",COUNTIF('対応履歴'!$B$5:$B$304,$A14))</f>
        <v/>
      </c>
      <c r="L14" s="11">
        <f>IF($P14="","",IFERROR(INDEX('対応履歴'!$G$5:$G$304,MATCH($P14,'対応履歴'!$J$5:$J$304,0))&amp;"",""))</f>
        <v/>
      </c>
      <c r="M14" s="9">
        <f>IF($P14="","",IFERROR(IF(INDEX('対応履歴'!$H$5:$H$304,MATCH($P14,'対応履歴'!$J$5:$J$304,0))="","",INDEX('対応履歴'!$H$5:$H$304,MATCH($P14,'対応履歴'!$J$5:$J$304,0))),""))</f>
        <v/>
      </c>
      <c r="N14" s="10">
        <f>IF($A14="","",IF($K14=0,"対応履歴なし",IF($M14="",IF($L14="","次回予定なし","期日未定"),IF($M14&lt;'次回アクション'!$B$2,"期日超過 "&amp;('次回アクション'!$B$2-$M14)&amp;"日",IF($M14='次回アクション'!$B$2,"今日","あと"&amp;($M14-'次回アクション'!$B$2)&amp;"日")))))</f>
        <v/>
      </c>
      <c r="O14" s="12">
        <f>IF($P14="","",IF($M14&lt;&gt;"",$M14+ROW()/100000,IF($L14&lt;&gt;"",100000+ROW()/100000,"")))</f>
        <v/>
      </c>
      <c r="P14" s="12">
        <f>IF(OR($A14="",$K14=0),"",_xlfn.MAXIFS('対応履歴'!$J$5:$J$304,'対応履歴'!$B$5:$B$304,$A14))</f>
        <v/>
      </c>
    </row>
    <row r="15">
      <c r="A15" s="7" t="n"/>
      <c r="B15" s="7" t="n"/>
      <c r="C15" s="8" t="n"/>
      <c r="D15" s="8" t="n"/>
      <c r="E15" s="8" t="n"/>
      <c r="F15" s="8" t="n"/>
      <c r="G15" s="7" t="n"/>
      <c r="H15" s="7" t="n"/>
      <c r="I15" s="8" t="n"/>
      <c r="J15" s="9">
        <f>IF($A15="","",IF($K15=0,"",_xlfn.MAXIFS('対応履歴'!$A$5:$A$304,'対応履歴'!$B$5:$B$304,$A15)))</f>
        <v/>
      </c>
      <c r="K15" s="10">
        <f>IF($A15="","",COUNTIF('対応履歴'!$B$5:$B$304,$A15))</f>
        <v/>
      </c>
      <c r="L15" s="11">
        <f>IF($P15="","",IFERROR(INDEX('対応履歴'!$G$5:$G$304,MATCH($P15,'対応履歴'!$J$5:$J$304,0))&amp;"",""))</f>
        <v/>
      </c>
      <c r="M15" s="9">
        <f>IF($P15="","",IFERROR(IF(INDEX('対応履歴'!$H$5:$H$304,MATCH($P15,'対応履歴'!$J$5:$J$304,0))="","",INDEX('対応履歴'!$H$5:$H$304,MATCH($P15,'対応履歴'!$J$5:$J$304,0))),""))</f>
        <v/>
      </c>
      <c r="N15" s="10">
        <f>IF($A15="","",IF($K15=0,"対応履歴なし",IF($M15="",IF($L15="","次回予定なし","期日未定"),IF($M15&lt;'次回アクション'!$B$2,"期日超過 "&amp;('次回アクション'!$B$2-$M15)&amp;"日",IF($M15='次回アクション'!$B$2,"今日","あと"&amp;($M15-'次回アクション'!$B$2)&amp;"日")))))</f>
        <v/>
      </c>
      <c r="O15" s="12">
        <f>IF($P15="","",IF($M15&lt;&gt;"",$M15+ROW()/100000,IF($L15&lt;&gt;"",100000+ROW()/100000,"")))</f>
        <v/>
      </c>
      <c r="P15" s="12">
        <f>IF(OR($A15="",$K15=0),"",_xlfn.MAXIFS('対応履歴'!$J$5:$J$304,'対応履歴'!$B$5:$B$304,$A15))</f>
        <v/>
      </c>
    </row>
    <row r="16">
      <c r="A16" s="7" t="n"/>
      <c r="B16" s="7" t="n"/>
      <c r="C16" s="8" t="n"/>
      <c r="D16" s="8" t="n"/>
      <c r="E16" s="8" t="n"/>
      <c r="F16" s="8" t="n"/>
      <c r="G16" s="7" t="n"/>
      <c r="H16" s="7" t="n"/>
      <c r="I16" s="8" t="n"/>
      <c r="J16" s="9">
        <f>IF($A16="","",IF($K16=0,"",_xlfn.MAXIFS('対応履歴'!$A$5:$A$304,'対応履歴'!$B$5:$B$304,$A16)))</f>
        <v/>
      </c>
      <c r="K16" s="10">
        <f>IF($A16="","",COUNTIF('対応履歴'!$B$5:$B$304,$A16))</f>
        <v/>
      </c>
      <c r="L16" s="11">
        <f>IF($P16="","",IFERROR(INDEX('対応履歴'!$G$5:$G$304,MATCH($P16,'対応履歴'!$J$5:$J$304,0))&amp;"",""))</f>
        <v/>
      </c>
      <c r="M16" s="9">
        <f>IF($P16="","",IFERROR(IF(INDEX('対応履歴'!$H$5:$H$304,MATCH($P16,'対応履歴'!$J$5:$J$304,0))="","",INDEX('対応履歴'!$H$5:$H$304,MATCH($P16,'対応履歴'!$J$5:$J$304,0))),""))</f>
        <v/>
      </c>
      <c r="N16" s="10">
        <f>IF($A16="","",IF($K16=0,"対応履歴なし",IF($M16="",IF($L16="","次回予定なし","期日未定"),IF($M16&lt;'次回アクション'!$B$2,"期日超過 "&amp;('次回アクション'!$B$2-$M16)&amp;"日",IF($M16='次回アクション'!$B$2,"今日","あと"&amp;($M16-'次回アクション'!$B$2)&amp;"日")))))</f>
        <v/>
      </c>
      <c r="O16" s="12">
        <f>IF($P16="","",IF($M16&lt;&gt;"",$M16+ROW()/100000,IF($L16&lt;&gt;"",100000+ROW()/100000,"")))</f>
        <v/>
      </c>
      <c r="P16" s="12">
        <f>IF(OR($A16="",$K16=0),"",_xlfn.MAXIFS('対応履歴'!$J$5:$J$304,'対応履歴'!$B$5:$B$304,$A16))</f>
        <v/>
      </c>
    </row>
    <row r="17">
      <c r="A17" s="7" t="n"/>
      <c r="B17" s="7" t="n"/>
      <c r="C17" s="8" t="n"/>
      <c r="D17" s="8" t="n"/>
      <c r="E17" s="8" t="n"/>
      <c r="F17" s="8" t="n"/>
      <c r="G17" s="7" t="n"/>
      <c r="H17" s="7" t="n"/>
      <c r="I17" s="8" t="n"/>
      <c r="J17" s="9">
        <f>IF($A17="","",IF($K17=0,"",_xlfn.MAXIFS('対応履歴'!$A$5:$A$304,'対応履歴'!$B$5:$B$304,$A17)))</f>
        <v/>
      </c>
      <c r="K17" s="10">
        <f>IF($A17="","",COUNTIF('対応履歴'!$B$5:$B$304,$A17))</f>
        <v/>
      </c>
      <c r="L17" s="11">
        <f>IF($P17="","",IFERROR(INDEX('対応履歴'!$G$5:$G$304,MATCH($P17,'対応履歴'!$J$5:$J$304,0))&amp;"",""))</f>
        <v/>
      </c>
      <c r="M17" s="9">
        <f>IF($P17="","",IFERROR(IF(INDEX('対応履歴'!$H$5:$H$304,MATCH($P17,'対応履歴'!$J$5:$J$304,0))="","",INDEX('対応履歴'!$H$5:$H$304,MATCH($P17,'対応履歴'!$J$5:$J$304,0))),""))</f>
        <v/>
      </c>
      <c r="N17" s="10">
        <f>IF($A17="","",IF($K17=0,"対応履歴なし",IF($M17="",IF($L17="","次回予定なし","期日未定"),IF($M17&lt;'次回アクション'!$B$2,"期日超過 "&amp;('次回アクション'!$B$2-$M17)&amp;"日",IF($M17='次回アクション'!$B$2,"今日","あと"&amp;($M17-'次回アクション'!$B$2)&amp;"日")))))</f>
        <v/>
      </c>
      <c r="O17" s="12">
        <f>IF($P17="","",IF($M17&lt;&gt;"",$M17+ROW()/100000,IF($L17&lt;&gt;"",100000+ROW()/100000,"")))</f>
        <v/>
      </c>
      <c r="P17" s="12">
        <f>IF(OR($A17="",$K17=0),"",_xlfn.MAXIFS('対応履歴'!$J$5:$J$304,'対応履歴'!$B$5:$B$304,$A17))</f>
        <v/>
      </c>
    </row>
    <row r="18">
      <c r="A18" s="7" t="n"/>
      <c r="B18" s="7" t="n"/>
      <c r="C18" s="8" t="n"/>
      <c r="D18" s="8" t="n"/>
      <c r="E18" s="8" t="n"/>
      <c r="F18" s="8" t="n"/>
      <c r="G18" s="7" t="n"/>
      <c r="H18" s="7" t="n"/>
      <c r="I18" s="8" t="n"/>
      <c r="J18" s="9">
        <f>IF($A18="","",IF($K18=0,"",_xlfn.MAXIFS('対応履歴'!$A$5:$A$304,'対応履歴'!$B$5:$B$304,$A18)))</f>
        <v/>
      </c>
      <c r="K18" s="10">
        <f>IF($A18="","",COUNTIF('対応履歴'!$B$5:$B$304,$A18))</f>
        <v/>
      </c>
      <c r="L18" s="11">
        <f>IF($P18="","",IFERROR(INDEX('対応履歴'!$G$5:$G$304,MATCH($P18,'対応履歴'!$J$5:$J$304,0))&amp;"",""))</f>
        <v/>
      </c>
      <c r="M18" s="9">
        <f>IF($P18="","",IFERROR(IF(INDEX('対応履歴'!$H$5:$H$304,MATCH($P18,'対応履歴'!$J$5:$J$304,0))="","",INDEX('対応履歴'!$H$5:$H$304,MATCH($P18,'対応履歴'!$J$5:$J$304,0))),""))</f>
        <v/>
      </c>
      <c r="N18" s="10">
        <f>IF($A18="","",IF($K18=0,"対応履歴なし",IF($M18="",IF($L18="","次回予定なし","期日未定"),IF($M18&lt;'次回アクション'!$B$2,"期日超過 "&amp;('次回アクション'!$B$2-$M18)&amp;"日",IF($M18='次回アクション'!$B$2,"今日","あと"&amp;($M18-'次回アクション'!$B$2)&amp;"日")))))</f>
        <v/>
      </c>
      <c r="O18" s="12">
        <f>IF($P18="","",IF($M18&lt;&gt;"",$M18+ROW()/100000,IF($L18&lt;&gt;"",100000+ROW()/100000,"")))</f>
        <v/>
      </c>
      <c r="P18" s="12">
        <f>IF(OR($A18="",$K18=0),"",_xlfn.MAXIFS('対応履歴'!$J$5:$J$304,'対応履歴'!$B$5:$B$304,$A18))</f>
        <v/>
      </c>
    </row>
    <row r="19">
      <c r="A19" s="7" t="n"/>
      <c r="B19" s="7" t="n"/>
      <c r="C19" s="8" t="n"/>
      <c r="D19" s="8" t="n"/>
      <c r="E19" s="8" t="n"/>
      <c r="F19" s="8" t="n"/>
      <c r="G19" s="7" t="n"/>
      <c r="H19" s="7" t="n"/>
      <c r="I19" s="8" t="n"/>
      <c r="J19" s="9">
        <f>IF($A19="","",IF($K19=0,"",_xlfn.MAXIFS('対応履歴'!$A$5:$A$304,'対応履歴'!$B$5:$B$304,$A19)))</f>
        <v/>
      </c>
      <c r="K19" s="10">
        <f>IF($A19="","",COUNTIF('対応履歴'!$B$5:$B$304,$A19))</f>
        <v/>
      </c>
      <c r="L19" s="11">
        <f>IF($P19="","",IFERROR(INDEX('対応履歴'!$G$5:$G$304,MATCH($P19,'対応履歴'!$J$5:$J$304,0))&amp;"",""))</f>
        <v/>
      </c>
      <c r="M19" s="9">
        <f>IF($P19="","",IFERROR(IF(INDEX('対応履歴'!$H$5:$H$304,MATCH($P19,'対応履歴'!$J$5:$J$304,0))="","",INDEX('対応履歴'!$H$5:$H$304,MATCH($P19,'対応履歴'!$J$5:$J$304,0))),""))</f>
        <v/>
      </c>
      <c r="N19" s="10">
        <f>IF($A19="","",IF($K19=0,"対応履歴なし",IF($M19="",IF($L19="","次回予定なし","期日未定"),IF($M19&lt;'次回アクション'!$B$2,"期日超過 "&amp;('次回アクション'!$B$2-$M19)&amp;"日",IF($M19='次回アクション'!$B$2,"今日","あと"&amp;($M19-'次回アクション'!$B$2)&amp;"日")))))</f>
        <v/>
      </c>
      <c r="O19" s="12">
        <f>IF($P19="","",IF($M19&lt;&gt;"",$M19+ROW()/100000,IF($L19&lt;&gt;"",100000+ROW()/100000,"")))</f>
        <v/>
      </c>
      <c r="P19" s="12">
        <f>IF(OR($A19="",$K19=0),"",_xlfn.MAXIFS('対応履歴'!$J$5:$J$304,'対応履歴'!$B$5:$B$304,$A19))</f>
        <v/>
      </c>
    </row>
    <row r="20">
      <c r="A20" s="7" t="n"/>
      <c r="B20" s="7" t="n"/>
      <c r="C20" s="8" t="n"/>
      <c r="D20" s="8" t="n"/>
      <c r="E20" s="8" t="n"/>
      <c r="F20" s="8" t="n"/>
      <c r="G20" s="7" t="n"/>
      <c r="H20" s="7" t="n"/>
      <c r="I20" s="8" t="n"/>
      <c r="J20" s="9">
        <f>IF($A20="","",IF($K20=0,"",_xlfn.MAXIFS('対応履歴'!$A$5:$A$304,'対応履歴'!$B$5:$B$304,$A20)))</f>
        <v/>
      </c>
      <c r="K20" s="10">
        <f>IF($A20="","",COUNTIF('対応履歴'!$B$5:$B$304,$A20))</f>
        <v/>
      </c>
      <c r="L20" s="11">
        <f>IF($P20="","",IFERROR(INDEX('対応履歴'!$G$5:$G$304,MATCH($P20,'対応履歴'!$J$5:$J$304,0))&amp;"",""))</f>
        <v/>
      </c>
      <c r="M20" s="9">
        <f>IF($P20="","",IFERROR(IF(INDEX('対応履歴'!$H$5:$H$304,MATCH($P20,'対応履歴'!$J$5:$J$304,0))="","",INDEX('対応履歴'!$H$5:$H$304,MATCH($P20,'対応履歴'!$J$5:$J$304,0))),""))</f>
        <v/>
      </c>
      <c r="N20" s="10">
        <f>IF($A20="","",IF($K20=0,"対応履歴なし",IF($M20="",IF($L20="","次回予定なし","期日未定"),IF($M20&lt;'次回アクション'!$B$2,"期日超過 "&amp;('次回アクション'!$B$2-$M20)&amp;"日",IF($M20='次回アクション'!$B$2,"今日","あと"&amp;($M20-'次回アクション'!$B$2)&amp;"日")))))</f>
        <v/>
      </c>
      <c r="O20" s="12">
        <f>IF($P20="","",IF($M20&lt;&gt;"",$M20+ROW()/100000,IF($L20&lt;&gt;"",100000+ROW()/100000,"")))</f>
        <v/>
      </c>
      <c r="P20" s="12">
        <f>IF(OR($A20="",$K20=0),"",_xlfn.MAXIFS('対応履歴'!$J$5:$J$304,'対応履歴'!$B$5:$B$304,$A20))</f>
        <v/>
      </c>
    </row>
    <row r="21">
      <c r="A21" s="7" t="n"/>
      <c r="B21" s="7" t="n"/>
      <c r="C21" s="8" t="n"/>
      <c r="D21" s="8" t="n"/>
      <c r="E21" s="8" t="n"/>
      <c r="F21" s="8" t="n"/>
      <c r="G21" s="7" t="n"/>
      <c r="H21" s="7" t="n"/>
      <c r="I21" s="8" t="n"/>
      <c r="J21" s="9">
        <f>IF($A21="","",IF($K21=0,"",_xlfn.MAXIFS('対応履歴'!$A$5:$A$304,'対応履歴'!$B$5:$B$304,$A21)))</f>
        <v/>
      </c>
      <c r="K21" s="10">
        <f>IF($A21="","",COUNTIF('対応履歴'!$B$5:$B$304,$A21))</f>
        <v/>
      </c>
      <c r="L21" s="11">
        <f>IF($P21="","",IFERROR(INDEX('対応履歴'!$G$5:$G$304,MATCH($P21,'対応履歴'!$J$5:$J$304,0))&amp;"",""))</f>
        <v/>
      </c>
      <c r="M21" s="9">
        <f>IF($P21="","",IFERROR(IF(INDEX('対応履歴'!$H$5:$H$304,MATCH($P21,'対応履歴'!$J$5:$J$304,0))="","",INDEX('対応履歴'!$H$5:$H$304,MATCH($P21,'対応履歴'!$J$5:$J$304,0))),""))</f>
        <v/>
      </c>
      <c r="N21" s="10">
        <f>IF($A21="","",IF($K21=0,"対応履歴なし",IF($M21="",IF($L21="","次回予定なし","期日未定"),IF($M21&lt;'次回アクション'!$B$2,"期日超過 "&amp;('次回アクション'!$B$2-$M21)&amp;"日",IF($M21='次回アクション'!$B$2,"今日","あと"&amp;($M21-'次回アクション'!$B$2)&amp;"日")))))</f>
        <v/>
      </c>
      <c r="O21" s="12">
        <f>IF($P21="","",IF($M21&lt;&gt;"",$M21+ROW()/100000,IF($L21&lt;&gt;"",100000+ROW()/100000,"")))</f>
        <v/>
      </c>
      <c r="P21" s="12">
        <f>IF(OR($A21="",$K21=0),"",_xlfn.MAXIFS('対応履歴'!$J$5:$J$304,'対応履歴'!$B$5:$B$304,$A21))</f>
        <v/>
      </c>
    </row>
    <row r="22">
      <c r="A22" s="7" t="n"/>
      <c r="B22" s="7" t="n"/>
      <c r="C22" s="8" t="n"/>
      <c r="D22" s="8" t="n"/>
      <c r="E22" s="8" t="n"/>
      <c r="F22" s="8" t="n"/>
      <c r="G22" s="7" t="n"/>
      <c r="H22" s="7" t="n"/>
      <c r="I22" s="8" t="n"/>
      <c r="J22" s="9">
        <f>IF($A22="","",IF($K22=0,"",_xlfn.MAXIFS('対応履歴'!$A$5:$A$304,'対応履歴'!$B$5:$B$304,$A22)))</f>
        <v/>
      </c>
      <c r="K22" s="10">
        <f>IF($A22="","",COUNTIF('対応履歴'!$B$5:$B$304,$A22))</f>
        <v/>
      </c>
      <c r="L22" s="11">
        <f>IF($P22="","",IFERROR(INDEX('対応履歴'!$G$5:$G$304,MATCH($P22,'対応履歴'!$J$5:$J$304,0))&amp;"",""))</f>
        <v/>
      </c>
      <c r="M22" s="9">
        <f>IF($P22="","",IFERROR(IF(INDEX('対応履歴'!$H$5:$H$304,MATCH($P22,'対応履歴'!$J$5:$J$304,0))="","",INDEX('対応履歴'!$H$5:$H$304,MATCH($P22,'対応履歴'!$J$5:$J$304,0))),""))</f>
        <v/>
      </c>
      <c r="N22" s="10">
        <f>IF($A22="","",IF($K22=0,"対応履歴なし",IF($M22="",IF($L22="","次回予定なし","期日未定"),IF($M22&lt;'次回アクション'!$B$2,"期日超過 "&amp;('次回アクション'!$B$2-$M22)&amp;"日",IF($M22='次回アクション'!$B$2,"今日","あと"&amp;($M22-'次回アクション'!$B$2)&amp;"日")))))</f>
        <v/>
      </c>
      <c r="O22" s="12">
        <f>IF($P22="","",IF($M22&lt;&gt;"",$M22+ROW()/100000,IF($L22&lt;&gt;"",100000+ROW()/100000,"")))</f>
        <v/>
      </c>
      <c r="P22" s="12">
        <f>IF(OR($A22="",$K22=0),"",_xlfn.MAXIFS('対応履歴'!$J$5:$J$304,'対応履歴'!$B$5:$B$304,$A22))</f>
        <v/>
      </c>
    </row>
    <row r="23">
      <c r="A23" s="7" t="n"/>
      <c r="B23" s="7" t="n"/>
      <c r="C23" s="8" t="n"/>
      <c r="D23" s="8" t="n"/>
      <c r="E23" s="8" t="n"/>
      <c r="F23" s="8" t="n"/>
      <c r="G23" s="7" t="n"/>
      <c r="H23" s="7" t="n"/>
      <c r="I23" s="8" t="n"/>
      <c r="J23" s="9">
        <f>IF($A23="","",IF($K23=0,"",_xlfn.MAXIFS('対応履歴'!$A$5:$A$304,'対応履歴'!$B$5:$B$304,$A23)))</f>
        <v/>
      </c>
      <c r="K23" s="10">
        <f>IF($A23="","",COUNTIF('対応履歴'!$B$5:$B$304,$A23))</f>
        <v/>
      </c>
      <c r="L23" s="11">
        <f>IF($P23="","",IFERROR(INDEX('対応履歴'!$G$5:$G$304,MATCH($P23,'対応履歴'!$J$5:$J$304,0))&amp;"",""))</f>
        <v/>
      </c>
      <c r="M23" s="9">
        <f>IF($P23="","",IFERROR(IF(INDEX('対応履歴'!$H$5:$H$304,MATCH($P23,'対応履歴'!$J$5:$J$304,0))="","",INDEX('対応履歴'!$H$5:$H$304,MATCH($P23,'対応履歴'!$J$5:$J$304,0))),""))</f>
        <v/>
      </c>
      <c r="N23" s="10">
        <f>IF($A23="","",IF($K23=0,"対応履歴なし",IF($M23="",IF($L23="","次回予定なし","期日未定"),IF($M23&lt;'次回アクション'!$B$2,"期日超過 "&amp;('次回アクション'!$B$2-$M23)&amp;"日",IF($M23='次回アクション'!$B$2,"今日","あと"&amp;($M23-'次回アクション'!$B$2)&amp;"日")))))</f>
        <v/>
      </c>
      <c r="O23" s="12">
        <f>IF($P23="","",IF($M23&lt;&gt;"",$M23+ROW()/100000,IF($L23&lt;&gt;"",100000+ROW()/100000,"")))</f>
        <v/>
      </c>
      <c r="P23" s="12">
        <f>IF(OR($A23="",$K23=0),"",_xlfn.MAXIFS('対応履歴'!$J$5:$J$304,'対応履歴'!$B$5:$B$304,$A23))</f>
        <v/>
      </c>
    </row>
    <row r="24">
      <c r="A24" s="7" t="n"/>
      <c r="B24" s="7" t="n"/>
      <c r="C24" s="8" t="n"/>
      <c r="D24" s="8" t="n"/>
      <c r="E24" s="8" t="n"/>
      <c r="F24" s="8" t="n"/>
      <c r="G24" s="7" t="n"/>
      <c r="H24" s="7" t="n"/>
      <c r="I24" s="8" t="n"/>
      <c r="J24" s="9">
        <f>IF($A24="","",IF($K24=0,"",_xlfn.MAXIFS('対応履歴'!$A$5:$A$304,'対応履歴'!$B$5:$B$304,$A24)))</f>
        <v/>
      </c>
      <c r="K24" s="10">
        <f>IF($A24="","",COUNTIF('対応履歴'!$B$5:$B$304,$A24))</f>
        <v/>
      </c>
      <c r="L24" s="11">
        <f>IF($P24="","",IFERROR(INDEX('対応履歴'!$G$5:$G$304,MATCH($P24,'対応履歴'!$J$5:$J$304,0))&amp;"",""))</f>
        <v/>
      </c>
      <c r="M24" s="9">
        <f>IF($P24="","",IFERROR(IF(INDEX('対応履歴'!$H$5:$H$304,MATCH($P24,'対応履歴'!$J$5:$J$304,0))="","",INDEX('対応履歴'!$H$5:$H$304,MATCH($P24,'対応履歴'!$J$5:$J$304,0))),""))</f>
        <v/>
      </c>
      <c r="N24" s="10">
        <f>IF($A24="","",IF($K24=0,"対応履歴なし",IF($M24="",IF($L24="","次回予定なし","期日未定"),IF($M24&lt;'次回アクション'!$B$2,"期日超過 "&amp;('次回アクション'!$B$2-$M24)&amp;"日",IF($M24='次回アクション'!$B$2,"今日","あと"&amp;($M24-'次回アクション'!$B$2)&amp;"日")))))</f>
        <v/>
      </c>
      <c r="O24" s="12">
        <f>IF($P24="","",IF($M24&lt;&gt;"",$M24+ROW()/100000,IF($L24&lt;&gt;"",100000+ROW()/100000,"")))</f>
        <v/>
      </c>
      <c r="P24" s="12">
        <f>IF(OR($A24="",$K24=0),"",_xlfn.MAXIFS('対応履歴'!$J$5:$J$304,'対応履歴'!$B$5:$B$304,$A24))</f>
        <v/>
      </c>
    </row>
    <row r="25">
      <c r="A25" s="7" t="n"/>
      <c r="B25" s="7" t="n"/>
      <c r="C25" s="8" t="n"/>
      <c r="D25" s="8" t="n"/>
      <c r="E25" s="8" t="n"/>
      <c r="F25" s="8" t="n"/>
      <c r="G25" s="7" t="n"/>
      <c r="H25" s="7" t="n"/>
      <c r="I25" s="8" t="n"/>
      <c r="J25" s="9">
        <f>IF($A25="","",IF($K25=0,"",_xlfn.MAXIFS('対応履歴'!$A$5:$A$304,'対応履歴'!$B$5:$B$304,$A25)))</f>
        <v/>
      </c>
      <c r="K25" s="10">
        <f>IF($A25="","",COUNTIF('対応履歴'!$B$5:$B$304,$A25))</f>
        <v/>
      </c>
      <c r="L25" s="11">
        <f>IF($P25="","",IFERROR(INDEX('対応履歴'!$G$5:$G$304,MATCH($P25,'対応履歴'!$J$5:$J$304,0))&amp;"",""))</f>
        <v/>
      </c>
      <c r="M25" s="9">
        <f>IF($P25="","",IFERROR(IF(INDEX('対応履歴'!$H$5:$H$304,MATCH($P25,'対応履歴'!$J$5:$J$304,0))="","",INDEX('対応履歴'!$H$5:$H$304,MATCH($P25,'対応履歴'!$J$5:$J$304,0))),""))</f>
        <v/>
      </c>
      <c r="N25" s="10">
        <f>IF($A25="","",IF($K25=0,"対応履歴なし",IF($M25="",IF($L25="","次回予定なし","期日未定"),IF($M25&lt;'次回アクション'!$B$2,"期日超過 "&amp;('次回アクション'!$B$2-$M25)&amp;"日",IF($M25='次回アクション'!$B$2,"今日","あと"&amp;($M25-'次回アクション'!$B$2)&amp;"日")))))</f>
        <v/>
      </c>
      <c r="O25" s="12">
        <f>IF($P25="","",IF($M25&lt;&gt;"",$M25+ROW()/100000,IF($L25&lt;&gt;"",100000+ROW()/100000,"")))</f>
        <v/>
      </c>
      <c r="P25" s="12">
        <f>IF(OR($A25="",$K25=0),"",_xlfn.MAXIFS('対応履歴'!$J$5:$J$304,'対応履歴'!$B$5:$B$304,$A25))</f>
        <v/>
      </c>
    </row>
    <row r="26">
      <c r="A26" s="7" t="n"/>
      <c r="B26" s="7" t="n"/>
      <c r="C26" s="8" t="n"/>
      <c r="D26" s="8" t="n"/>
      <c r="E26" s="8" t="n"/>
      <c r="F26" s="8" t="n"/>
      <c r="G26" s="7" t="n"/>
      <c r="H26" s="7" t="n"/>
      <c r="I26" s="8" t="n"/>
      <c r="J26" s="9">
        <f>IF($A26="","",IF($K26=0,"",_xlfn.MAXIFS('対応履歴'!$A$5:$A$304,'対応履歴'!$B$5:$B$304,$A26)))</f>
        <v/>
      </c>
      <c r="K26" s="10">
        <f>IF($A26="","",COUNTIF('対応履歴'!$B$5:$B$304,$A26))</f>
        <v/>
      </c>
      <c r="L26" s="11">
        <f>IF($P26="","",IFERROR(INDEX('対応履歴'!$G$5:$G$304,MATCH($P26,'対応履歴'!$J$5:$J$304,0))&amp;"",""))</f>
        <v/>
      </c>
      <c r="M26" s="9">
        <f>IF($P26="","",IFERROR(IF(INDEX('対応履歴'!$H$5:$H$304,MATCH($P26,'対応履歴'!$J$5:$J$304,0))="","",INDEX('対応履歴'!$H$5:$H$304,MATCH($P26,'対応履歴'!$J$5:$J$304,0))),""))</f>
        <v/>
      </c>
      <c r="N26" s="10">
        <f>IF($A26="","",IF($K26=0,"対応履歴なし",IF($M26="",IF($L26="","次回予定なし","期日未定"),IF($M26&lt;'次回アクション'!$B$2,"期日超過 "&amp;('次回アクション'!$B$2-$M26)&amp;"日",IF($M26='次回アクション'!$B$2,"今日","あと"&amp;($M26-'次回アクション'!$B$2)&amp;"日")))))</f>
        <v/>
      </c>
      <c r="O26" s="12">
        <f>IF($P26="","",IF($M26&lt;&gt;"",$M26+ROW()/100000,IF($L26&lt;&gt;"",100000+ROW()/100000,"")))</f>
        <v/>
      </c>
      <c r="P26" s="12">
        <f>IF(OR($A26="",$K26=0),"",_xlfn.MAXIFS('対応履歴'!$J$5:$J$304,'対応履歴'!$B$5:$B$304,$A26))</f>
        <v/>
      </c>
    </row>
    <row r="27">
      <c r="A27" s="7" t="n"/>
      <c r="B27" s="7" t="n"/>
      <c r="C27" s="8" t="n"/>
      <c r="D27" s="8" t="n"/>
      <c r="E27" s="8" t="n"/>
      <c r="F27" s="8" t="n"/>
      <c r="G27" s="7" t="n"/>
      <c r="H27" s="7" t="n"/>
      <c r="I27" s="8" t="n"/>
      <c r="J27" s="9">
        <f>IF($A27="","",IF($K27=0,"",_xlfn.MAXIFS('対応履歴'!$A$5:$A$304,'対応履歴'!$B$5:$B$304,$A27)))</f>
        <v/>
      </c>
      <c r="K27" s="10">
        <f>IF($A27="","",COUNTIF('対応履歴'!$B$5:$B$304,$A27))</f>
        <v/>
      </c>
      <c r="L27" s="11">
        <f>IF($P27="","",IFERROR(INDEX('対応履歴'!$G$5:$G$304,MATCH($P27,'対応履歴'!$J$5:$J$304,0))&amp;"",""))</f>
        <v/>
      </c>
      <c r="M27" s="9">
        <f>IF($P27="","",IFERROR(IF(INDEX('対応履歴'!$H$5:$H$304,MATCH($P27,'対応履歴'!$J$5:$J$304,0))="","",INDEX('対応履歴'!$H$5:$H$304,MATCH($P27,'対応履歴'!$J$5:$J$304,0))),""))</f>
        <v/>
      </c>
      <c r="N27" s="10">
        <f>IF($A27="","",IF($K27=0,"対応履歴なし",IF($M27="",IF($L27="","次回予定なし","期日未定"),IF($M27&lt;'次回アクション'!$B$2,"期日超過 "&amp;('次回アクション'!$B$2-$M27)&amp;"日",IF($M27='次回アクション'!$B$2,"今日","あと"&amp;($M27-'次回アクション'!$B$2)&amp;"日")))))</f>
        <v/>
      </c>
      <c r="O27" s="12">
        <f>IF($P27="","",IF($M27&lt;&gt;"",$M27+ROW()/100000,IF($L27&lt;&gt;"",100000+ROW()/100000,"")))</f>
        <v/>
      </c>
      <c r="P27" s="12">
        <f>IF(OR($A27="",$K27=0),"",_xlfn.MAXIFS('対応履歴'!$J$5:$J$304,'対応履歴'!$B$5:$B$304,$A27))</f>
        <v/>
      </c>
    </row>
    <row r="28">
      <c r="A28" s="7" t="n"/>
      <c r="B28" s="7" t="n"/>
      <c r="C28" s="8" t="n"/>
      <c r="D28" s="8" t="n"/>
      <c r="E28" s="8" t="n"/>
      <c r="F28" s="8" t="n"/>
      <c r="G28" s="7" t="n"/>
      <c r="H28" s="7" t="n"/>
      <c r="I28" s="8" t="n"/>
      <c r="J28" s="9">
        <f>IF($A28="","",IF($K28=0,"",_xlfn.MAXIFS('対応履歴'!$A$5:$A$304,'対応履歴'!$B$5:$B$304,$A28)))</f>
        <v/>
      </c>
      <c r="K28" s="10">
        <f>IF($A28="","",COUNTIF('対応履歴'!$B$5:$B$304,$A28))</f>
        <v/>
      </c>
      <c r="L28" s="11">
        <f>IF($P28="","",IFERROR(INDEX('対応履歴'!$G$5:$G$304,MATCH($P28,'対応履歴'!$J$5:$J$304,0))&amp;"",""))</f>
        <v/>
      </c>
      <c r="M28" s="9">
        <f>IF($P28="","",IFERROR(IF(INDEX('対応履歴'!$H$5:$H$304,MATCH($P28,'対応履歴'!$J$5:$J$304,0))="","",INDEX('対応履歴'!$H$5:$H$304,MATCH($P28,'対応履歴'!$J$5:$J$304,0))),""))</f>
        <v/>
      </c>
      <c r="N28" s="10">
        <f>IF($A28="","",IF($K28=0,"対応履歴なし",IF($M28="",IF($L28="","次回予定なし","期日未定"),IF($M28&lt;'次回アクション'!$B$2,"期日超過 "&amp;('次回アクション'!$B$2-$M28)&amp;"日",IF($M28='次回アクション'!$B$2,"今日","あと"&amp;($M28-'次回アクション'!$B$2)&amp;"日")))))</f>
        <v/>
      </c>
      <c r="O28" s="12">
        <f>IF($P28="","",IF($M28&lt;&gt;"",$M28+ROW()/100000,IF($L28&lt;&gt;"",100000+ROW()/100000,"")))</f>
        <v/>
      </c>
      <c r="P28" s="12">
        <f>IF(OR($A28="",$K28=0),"",_xlfn.MAXIFS('対応履歴'!$J$5:$J$304,'対応履歴'!$B$5:$B$304,$A28))</f>
        <v/>
      </c>
    </row>
    <row r="29">
      <c r="A29" s="7" t="n"/>
      <c r="B29" s="7" t="n"/>
      <c r="C29" s="8" t="n"/>
      <c r="D29" s="8" t="n"/>
      <c r="E29" s="8" t="n"/>
      <c r="F29" s="8" t="n"/>
      <c r="G29" s="7" t="n"/>
      <c r="H29" s="7" t="n"/>
      <c r="I29" s="8" t="n"/>
      <c r="J29" s="9">
        <f>IF($A29="","",IF($K29=0,"",_xlfn.MAXIFS('対応履歴'!$A$5:$A$304,'対応履歴'!$B$5:$B$304,$A29)))</f>
        <v/>
      </c>
      <c r="K29" s="10">
        <f>IF($A29="","",COUNTIF('対応履歴'!$B$5:$B$304,$A29))</f>
        <v/>
      </c>
      <c r="L29" s="11">
        <f>IF($P29="","",IFERROR(INDEX('対応履歴'!$G$5:$G$304,MATCH($P29,'対応履歴'!$J$5:$J$304,0))&amp;"",""))</f>
        <v/>
      </c>
      <c r="M29" s="9">
        <f>IF($P29="","",IFERROR(IF(INDEX('対応履歴'!$H$5:$H$304,MATCH($P29,'対応履歴'!$J$5:$J$304,0))="","",INDEX('対応履歴'!$H$5:$H$304,MATCH($P29,'対応履歴'!$J$5:$J$304,0))),""))</f>
        <v/>
      </c>
      <c r="N29" s="10">
        <f>IF($A29="","",IF($K29=0,"対応履歴なし",IF($M29="",IF($L29="","次回予定なし","期日未定"),IF($M29&lt;'次回アクション'!$B$2,"期日超過 "&amp;('次回アクション'!$B$2-$M29)&amp;"日",IF($M29='次回アクション'!$B$2,"今日","あと"&amp;($M29-'次回アクション'!$B$2)&amp;"日")))))</f>
        <v/>
      </c>
      <c r="O29" s="12">
        <f>IF($P29="","",IF($M29&lt;&gt;"",$M29+ROW()/100000,IF($L29&lt;&gt;"",100000+ROW()/100000,"")))</f>
        <v/>
      </c>
      <c r="P29" s="12">
        <f>IF(OR($A29="",$K29=0),"",_xlfn.MAXIFS('対応履歴'!$J$5:$J$304,'対応履歴'!$B$5:$B$304,$A29))</f>
        <v/>
      </c>
    </row>
    <row r="30">
      <c r="A30" s="7" t="n"/>
      <c r="B30" s="7" t="n"/>
      <c r="C30" s="8" t="n"/>
      <c r="D30" s="8" t="n"/>
      <c r="E30" s="8" t="n"/>
      <c r="F30" s="8" t="n"/>
      <c r="G30" s="7" t="n"/>
      <c r="H30" s="7" t="n"/>
      <c r="I30" s="8" t="n"/>
      <c r="J30" s="9">
        <f>IF($A30="","",IF($K30=0,"",_xlfn.MAXIFS('対応履歴'!$A$5:$A$304,'対応履歴'!$B$5:$B$304,$A30)))</f>
        <v/>
      </c>
      <c r="K30" s="10">
        <f>IF($A30="","",COUNTIF('対応履歴'!$B$5:$B$304,$A30))</f>
        <v/>
      </c>
      <c r="L30" s="11">
        <f>IF($P30="","",IFERROR(INDEX('対応履歴'!$G$5:$G$304,MATCH($P30,'対応履歴'!$J$5:$J$304,0))&amp;"",""))</f>
        <v/>
      </c>
      <c r="M30" s="9">
        <f>IF($P30="","",IFERROR(IF(INDEX('対応履歴'!$H$5:$H$304,MATCH($P30,'対応履歴'!$J$5:$J$304,0))="","",INDEX('対応履歴'!$H$5:$H$304,MATCH($P30,'対応履歴'!$J$5:$J$304,0))),""))</f>
        <v/>
      </c>
      <c r="N30" s="10">
        <f>IF($A30="","",IF($K30=0,"対応履歴なし",IF($M30="",IF($L30="","次回予定なし","期日未定"),IF($M30&lt;'次回アクション'!$B$2,"期日超過 "&amp;('次回アクション'!$B$2-$M30)&amp;"日",IF($M30='次回アクション'!$B$2,"今日","あと"&amp;($M30-'次回アクション'!$B$2)&amp;"日")))))</f>
        <v/>
      </c>
      <c r="O30" s="12">
        <f>IF($P30="","",IF($M30&lt;&gt;"",$M30+ROW()/100000,IF($L30&lt;&gt;"",100000+ROW()/100000,"")))</f>
        <v/>
      </c>
      <c r="P30" s="12">
        <f>IF(OR($A30="",$K30=0),"",_xlfn.MAXIFS('対応履歴'!$J$5:$J$304,'対応履歴'!$B$5:$B$304,$A30))</f>
        <v/>
      </c>
    </row>
    <row r="31">
      <c r="A31" s="7" t="n"/>
      <c r="B31" s="7" t="n"/>
      <c r="C31" s="8" t="n"/>
      <c r="D31" s="8" t="n"/>
      <c r="E31" s="8" t="n"/>
      <c r="F31" s="8" t="n"/>
      <c r="G31" s="7" t="n"/>
      <c r="H31" s="7" t="n"/>
      <c r="I31" s="8" t="n"/>
      <c r="J31" s="9">
        <f>IF($A31="","",IF($K31=0,"",_xlfn.MAXIFS('対応履歴'!$A$5:$A$304,'対応履歴'!$B$5:$B$304,$A31)))</f>
        <v/>
      </c>
      <c r="K31" s="10">
        <f>IF($A31="","",COUNTIF('対応履歴'!$B$5:$B$304,$A31))</f>
        <v/>
      </c>
      <c r="L31" s="11">
        <f>IF($P31="","",IFERROR(INDEX('対応履歴'!$G$5:$G$304,MATCH($P31,'対応履歴'!$J$5:$J$304,0))&amp;"",""))</f>
        <v/>
      </c>
      <c r="M31" s="9">
        <f>IF($P31="","",IFERROR(IF(INDEX('対応履歴'!$H$5:$H$304,MATCH($P31,'対応履歴'!$J$5:$J$304,0))="","",INDEX('対応履歴'!$H$5:$H$304,MATCH($P31,'対応履歴'!$J$5:$J$304,0))),""))</f>
        <v/>
      </c>
      <c r="N31" s="10">
        <f>IF($A31="","",IF($K31=0,"対応履歴なし",IF($M31="",IF($L31="","次回予定なし","期日未定"),IF($M31&lt;'次回アクション'!$B$2,"期日超過 "&amp;('次回アクション'!$B$2-$M31)&amp;"日",IF($M31='次回アクション'!$B$2,"今日","あと"&amp;($M31-'次回アクション'!$B$2)&amp;"日")))))</f>
        <v/>
      </c>
      <c r="O31" s="12">
        <f>IF($P31="","",IF($M31&lt;&gt;"",$M31+ROW()/100000,IF($L31&lt;&gt;"",100000+ROW()/100000,"")))</f>
        <v/>
      </c>
      <c r="P31" s="12">
        <f>IF(OR($A31="",$K31=0),"",_xlfn.MAXIFS('対応履歴'!$J$5:$J$304,'対応履歴'!$B$5:$B$304,$A31))</f>
        <v/>
      </c>
    </row>
    <row r="32">
      <c r="A32" s="7" t="n"/>
      <c r="B32" s="7" t="n"/>
      <c r="C32" s="8" t="n"/>
      <c r="D32" s="8" t="n"/>
      <c r="E32" s="8" t="n"/>
      <c r="F32" s="8" t="n"/>
      <c r="G32" s="7" t="n"/>
      <c r="H32" s="7" t="n"/>
      <c r="I32" s="8" t="n"/>
      <c r="J32" s="9">
        <f>IF($A32="","",IF($K32=0,"",_xlfn.MAXIFS('対応履歴'!$A$5:$A$304,'対応履歴'!$B$5:$B$304,$A32)))</f>
        <v/>
      </c>
      <c r="K32" s="10">
        <f>IF($A32="","",COUNTIF('対応履歴'!$B$5:$B$304,$A32))</f>
        <v/>
      </c>
      <c r="L32" s="11">
        <f>IF($P32="","",IFERROR(INDEX('対応履歴'!$G$5:$G$304,MATCH($P32,'対応履歴'!$J$5:$J$304,0))&amp;"",""))</f>
        <v/>
      </c>
      <c r="M32" s="9">
        <f>IF($P32="","",IFERROR(IF(INDEX('対応履歴'!$H$5:$H$304,MATCH($P32,'対応履歴'!$J$5:$J$304,0))="","",INDEX('対応履歴'!$H$5:$H$304,MATCH($P32,'対応履歴'!$J$5:$J$304,0))),""))</f>
        <v/>
      </c>
      <c r="N32" s="10">
        <f>IF($A32="","",IF($K32=0,"対応履歴なし",IF($M32="",IF($L32="","次回予定なし","期日未定"),IF($M32&lt;'次回アクション'!$B$2,"期日超過 "&amp;('次回アクション'!$B$2-$M32)&amp;"日",IF($M32='次回アクション'!$B$2,"今日","あと"&amp;($M32-'次回アクション'!$B$2)&amp;"日")))))</f>
        <v/>
      </c>
      <c r="O32" s="12">
        <f>IF($P32="","",IF($M32&lt;&gt;"",$M32+ROW()/100000,IF($L32&lt;&gt;"",100000+ROW()/100000,"")))</f>
        <v/>
      </c>
      <c r="P32" s="12">
        <f>IF(OR($A32="",$K32=0),"",_xlfn.MAXIFS('対応履歴'!$J$5:$J$304,'対応履歴'!$B$5:$B$304,$A32))</f>
        <v/>
      </c>
    </row>
    <row r="33">
      <c r="A33" s="7" t="n"/>
      <c r="B33" s="7" t="n"/>
      <c r="C33" s="8" t="n"/>
      <c r="D33" s="8" t="n"/>
      <c r="E33" s="8" t="n"/>
      <c r="F33" s="8" t="n"/>
      <c r="G33" s="7" t="n"/>
      <c r="H33" s="7" t="n"/>
      <c r="I33" s="8" t="n"/>
      <c r="J33" s="9">
        <f>IF($A33="","",IF($K33=0,"",_xlfn.MAXIFS('対応履歴'!$A$5:$A$304,'対応履歴'!$B$5:$B$304,$A33)))</f>
        <v/>
      </c>
      <c r="K33" s="10">
        <f>IF($A33="","",COUNTIF('対応履歴'!$B$5:$B$304,$A33))</f>
        <v/>
      </c>
      <c r="L33" s="11">
        <f>IF($P33="","",IFERROR(INDEX('対応履歴'!$G$5:$G$304,MATCH($P33,'対応履歴'!$J$5:$J$304,0))&amp;"",""))</f>
        <v/>
      </c>
      <c r="M33" s="9">
        <f>IF($P33="","",IFERROR(IF(INDEX('対応履歴'!$H$5:$H$304,MATCH($P33,'対応履歴'!$J$5:$J$304,0))="","",INDEX('対応履歴'!$H$5:$H$304,MATCH($P33,'対応履歴'!$J$5:$J$304,0))),""))</f>
        <v/>
      </c>
      <c r="N33" s="10">
        <f>IF($A33="","",IF($K33=0,"対応履歴なし",IF($M33="",IF($L33="","次回予定なし","期日未定"),IF($M33&lt;'次回アクション'!$B$2,"期日超過 "&amp;('次回アクション'!$B$2-$M33)&amp;"日",IF($M33='次回アクション'!$B$2,"今日","あと"&amp;($M33-'次回アクション'!$B$2)&amp;"日")))))</f>
        <v/>
      </c>
      <c r="O33" s="12">
        <f>IF($P33="","",IF($M33&lt;&gt;"",$M33+ROW()/100000,IF($L33&lt;&gt;"",100000+ROW()/100000,"")))</f>
        <v/>
      </c>
      <c r="P33" s="12">
        <f>IF(OR($A33="",$K33=0),"",_xlfn.MAXIFS('対応履歴'!$J$5:$J$304,'対応履歴'!$B$5:$B$304,$A33))</f>
        <v/>
      </c>
    </row>
    <row r="34">
      <c r="A34" s="7" t="n"/>
      <c r="B34" s="7" t="n"/>
      <c r="C34" s="8" t="n"/>
      <c r="D34" s="8" t="n"/>
      <c r="E34" s="8" t="n"/>
      <c r="F34" s="8" t="n"/>
      <c r="G34" s="7" t="n"/>
      <c r="H34" s="7" t="n"/>
      <c r="I34" s="8" t="n"/>
      <c r="J34" s="9">
        <f>IF($A34="","",IF($K34=0,"",_xlfn.MAXIFS('対応履歴'!$A$5:$A$304,'対応履歴'!$B$5:$B$304,$A34)))</f>
        <v/>
      </c>
      <c r="K34" s="10">
        <f>IF($A34="","",COUNTIF('対応履歴'!$B$5:$B$304,$A34))</f>
        <v/>
      </c>
      <c r="L34" s="11">
        <f>IF($P34="","",IFERROR(INDEX('対応履歴'!$G$5:$G$304,MATCH($P34,'対応履歴'!$J$5:$J$304,0))&amp;"",""))</f>
        <v/>
      </c>
      <c r="M34" s="9">
        <f>IF($P34="","",IFERROR(IF(INDEX('対応履歴'!$H$5:$H$304,MATCH($P34,'対応履歴'!$J$5:$J$304,0))="","",INDEX('対応履歴'!$H$5:$H$304,MATCH($P34,'対応履歴'!$J$5:$J$304,0))),""))</f>
        <v/>
      </c>
      <c r="N34" s="10">
        <f>IF($A34="","",IF($K34=0,"対応履歴なし",IF($M34="",IF($L34="","次回予定なし","期日未定"),IF($M34&lt;'次回アクション'!$B$2,"期日超過 "&amp;('次回アクション'!$B$2-$M34)&amp;"日",IF($M34='次回アクション'!$B$2,"今日","あと"&amp;($M34-'次回アクション'!$B$2)&amp;"日")))))</f>
        <v/>
      </c>
      <c r="O34" s="12">
        <f>IF($P34="","",IF($M34&lt;&gt;"",$M34+ROW()/100000,IF($L34&lt;&gt;"",100000+ROW()/100000,"")))</f>
        <v/>
      </c>
      <c r="P34" s="12">
        <f>IF(OR($A34="",$K34=0),"",_xlfn.MAXIFS('対応履歴'!$J$5:$J$304,'対応履歴'!$B$5:$B$304,$A34))</f>
        <v/>
      </c>
    </row>
    <row r="35">
      <c r="A35" s="7" t="n"/>
      <c r="B35" s="7" t="n"/>
      <c r="C35" s="8" t="n"/>
      <c r="D35" s="8" t="n"/>
      <c r="E35" s="8" t="n"/>
      <c r="F35" s="8" t="n"/>
      <c r="G35" s="7" t="n"/>
      <c r="H35" s="7" t="n"/>
      <c r="I35" s="8" t="n"/>
      <c r="J35" s="9">
        <f>IF($A35="","",IF($K35=0,"",_xlfn.MAXIFS('対応履歴'!$A$5:$A$304,'対応履歴'!$B$5:$B$304,$A35)))</f>
        <v/>
      </c>
      <c r="K35" s="10">
        <f>IF($A35="","",COUNTIF('対応履歴'!$B$5:$B$304,$A35))</f>
        <v/>
      </c>
      <c r="L35" s="11">
        <f>IF($P35="","",IFERROR(INDEX('対応履歴'!$G$5:$G$304,MATCH($P35,'対応履歴'!$J$5:$J$304,0))&amp;"",""))</f>
        <v/>
      </c>
      <c r="M35" s="9">
        <f>IF($P35="","",IFERROR(IF(INDEX('対応履歴'!$H$5:$H$304,MATCH($P35,'対応履歴'!$J$5:$J$304,0))="","",INDEX('対応履歴'!$H$5:$H$304,MATCH($P35,'対応履歴'!$J$5:$J$304,0))),""))</f>
        <v/>
      </c>
      <c r="N35" s="10">
        <f>IF($A35="","",IF($K35=0,"対応履歴なし",IF($M35="",IF($L35="","次回予定なし","期日未定"),IF($M35&lt;'次回アクション'!$B$2,"期日超過 "&amp;('次回アクション'!$B$2-$M35)&amp;"日",IF($M35='次回アクション'!$B$2,"今日","あと"&amp;($M35-'次回アクション'!$B$2)&amp;"日")))))</f>
        <v/>
      </c>
      <c r="O35" s="12">
        <f>IF($P35="","",IF($M35&lt;&gt;"",$M35+ROW()/100000,IF($L35&lt;&gt;"",100000+ROW()/100000,"")))</f>
        <v/>
      </c>
      <c r="P35" s="12">
        <f>IF(OR($A35="",$K35=0),"",_xlfn.MAXIFS('対応履歴'!$J$5:$J$304,'対応履歴'!$B$5:$B$304,$A35))</f>
        <v/>
      </c>
    </row>
    <row r="36">
      <c r="A36" s="7" t="n"/>
      <c r="B36" s="7" t="n"/>
      <c r="C36" s="8" t="n"/>
      <c r="D36" s="8" t="n"/>
      <c r="E36" s="8" t="n"/>
      <c r="F36" s="8" t="n"/>
      <c r="G36" s="7" t="n"/>
      <c r="H36" s="7" t="n"/>
      <c r="I36" s="8" t="n"/>
      <c r="J36" s="9">
        <f>IF($A36="","",IF($K36=0,"",_xlfn.MAXIFS('対応履歴'!$A$5:$A$304,'対応履歴'!$B$5:$B$304,$A36)))</f>
        <v/>
      </c>
      <c r="K36" s="10">
        <f>IF($A36="","",COUNTIF('対応履歴'!$B$5:$B$304,$A36))</f>
        <v/>
      </c>
      <c r="L36" s="11">
        <f>IF($P36="","",IFERROR(INDEX('対応履歴'!$G$5:$G$304,MATCH($P36,'対応履歴'!$J$5:$J$304,0))&amp;"",""))</f>
        <v/>
      </c>
      <c r="M36" s="9">
        <f>IF($P36="","",IFERROR(IF(INDEX('対応履歴'!$H$5:$H$304,MATCH($P36,'対応履歴'!$J$5:$J$304,0))="","",INDEX('対応履歴'!$H$5:$H$304,MATCH($P36,'対応履歴'!$J$5:$J$304,0))),""))</f>
        <v/>
      </c>
      <c r="N36" s="10">
        <f>IF($A36="","",IF($K36=0,"対応履歴なし",IF($M36="",IF($L36="","次回予定なし","期日未定"),IF($M36&lt;'次回アクション'!$B$2,"期日超過 "&amp;('次回アクション'!$B$2-$M36)&amp;"日",IF($M36='次回アクション'!$B$2,"今日","あと"&amp;($M36-'次回アクション'!$B$2)&amp;"日")))))</f>
        <v/>
      </c>
      <c r="O36" s="12">
        <f>IF($P36="","",IF($M36&lt;&gt;"",$M36+ROW()/100000,IF($L36&lt;&gt;"",100000+ROW()/100000,"")))</f>
        <v/>
      </c>
      <c r="P36" s="12">
        <f>IF(OR($A36="",$K36=0),"",_xlfn.MAXIFS('対応履歴'!$J$5:$J$304,'対応履歴'!$B$5:$B$304,$A36))</f>
        <v/>
      </c>
    </row>
    <row r="37">
      <c r="A37" s="7" t="n"/>
      <c r="B37" s="7" t="n"/>
      <c r="C37" s="8" t="n"/>
      <c r="D37" s="8" t="n"/>
      <c r="E37" s="8" t="n"/>
      <c r="F37" s="8" t="n"/>
      <c r="G37" s="7" t="n"/>
      <c r="H37" s="7" t="n"/>
      <c r="I37" s="8" t="n"/>
      <c r="J37" s="9">
        <f>IF($A37="","",IF($K37=0,"",_xlfn.MAXIFS('対応履歴'!$A$5:$A$304,'対応履歴'!$B$5:$B$304,$A37)))</f>
        <v/>
      </c>
      <c r="K37" s="10">
        <f>IF($A37="","",COUNTIF('対応履歴'!$B$5:$B$304,$A37))</f>
        <v/>
      </c>
      <c r="L37" s="11">
        <f>IF($P37="","",IFERROR(INDEX('対応履歴'!$G$5:$G$304,MATCH($P37,'対応履歴'!$J$5:$J$304,0))&amp;"",""))</f>
        <v/>
      </c>
      <c r="M37" s="9">
        <f>IF($P37="","",IFERROR(IF(INDEX('対応履歴'!$H$5:$H$304,MATCH($P37,'対応履歴'!$J$5:$J$304,0))="","",INDEX('対応履歴'!$H$5:$H$304,MATCH($P37,'対応履歴'!$J$5:$J$304,0))),""))</f>
        <v/>
      </c>
      <c r="N37" s="10">
        <f>IF($A37="","",IF($K37=0,"対応履歴なし",IF($M37="",IF($L37="","次回予定なし","期日未定"),IF($M37&lt;'次回アクション'!$B$2,"期日超過 "&amp;('次回アクション'!$B$2-$M37)&amp;"日",IF($M37='次回アクション'!$B$2,"今日","あと"&amp;($M37-'次回アクション'!$B$2)&amp;"日")))))</f>
        <v/>
      </c>
      <c r="O37" s="12">
        <f>IF($P37="","",IF($M37&lt;&gt;"",$M37+ROW()/100000,IF($L37&lt;&gt;"",100000+ROW()/100000,"")))</f>
        <v/>
      </c>
      <c r="P37" s="12">
        <f>IF(OR($A37="",$K37=0),"",_xlfn.MAXIFS('対応履歴'!$J$5:$J$304,'対応履歴'!$B$5:$B$304,$A37))</f>
        <v/>
      </c>
    </row>
    <row r="38">
      <c r="A38" s="7" t="n"/>
      <c r="B38" s="7" t="n"/>
      <c r="C38" s="8" t="n"/>
      <c r="D38" s="8" t="n"/>
      <c r="E38" s="8" t="n"/>
      <c r="F38" s="8" t="n"/>
      <c r="G38" s="7" t="n"/>
      <c r="H38" s="7" t="n"/>
      <c r="I38" s="8" t="n"/>
      <c r="J38" s="9">
        <f>IF($A38="","",IF($K38=0,"",_xlfn.MAXIFS('対応履歴'!$A$5:$A$304,'対応履歴'!$B$5:$B$304,$A38)))</f>
        <v/>
      </c>
      <c r="K38" s="10">
        <f>IF($A38="","",COUNTIF('対応履歴'!$B$5:$B$304,$A38))</f>
        <v/>
      </c>
      <c r="L38" s="11">
        <f>IF($P38="","",IFERROR(INDEX('対応履歴'!$G$5:$G$304,MATCH($P38,'対応履歴'!$J$5:$J$304,0))&amp;"",""))</f>
        <v/>
      </c>
      <c r="M38" s="9">
        <f>IF($P38="","",IFERROR(IF(INDEX('対応履歴'!$H$5:$H$304,MATCH($P38,'対応履歴'!$J$5:$J$304,0))="","",INDEX('対応履歴'!$H$5:$H$304,MATCH($P38,'対応履歴'!$J$5:$J$304,0))),""))</f>
        <v/>
      </c>
      <c r="N38" s="10">
        <f>IF($A38="","",IF($K38=0,"対応履歴なし",IF($M38="",IF($L38="","次回予定なし","期日未定"),IF($M38&lt;'次回アクション'!$B$2,"期日超過 "&amp;('次回アクション'!$B$2-$M38)&amp;"日",IF($M38='次回アクション'!$B$2,"今日","あと"&amp;($M38-'次回アクション'!$B$2)&amp;"日")))))</f>
        <v/>
      </c>
      <c r="O38" s="12">
        <f>IF($P38="","",IF($M38&lt;&gt;"",$M38+ROW()/100000,IF($L38&lt;&gt;"",100000+ROW()/100000,"")))</f>
        <v/>
      </c>
      <c r="P38" s="12">
        <f>IF(OR($A38="",$K38=0),"",_xlfn.MAXIFS('対応履歴'!$J$5:$J$304,'対応履歴'!$B$5:$B$304,$A38))</f>
        <v/>
      </c>
    </row>
    <row r="39">
      <c r="A39" s="7" t="n"/>
      <c r="B39" s="7" t="n"/>
      <c r="C39" s="8" t="n"/>
      <c r="D39" s="8" t="n"/>
      <c r="E39" s="8" t="n"/>
      <c r="F39" s="8" t="n"/>
      <c r="G39" s="7" t="n"/>
      <c r="H39" s="7" t="n"/>
      <c r="I39" s="8" t="n"/>
      <c r="J39" s="9">
        <f>IF($A39="","",IF($K39=0,"",_xlfn.MAXIFS('対応履歴'!$A$5:$A$304,'対応履歴'!$B$5:$B$304,$A39)))</f>
        <v/>
      </c>
      <c r="K39" s="10">
        <f>IF($A39="","",COUNTIF('対応履歴'!$B$5:$B$304,$A39))</f>
        <v/>
      </c>
      <c r="L39" s="11">
        <f>IF($P39="","",IFERROR(INDEX('対応履歴'!$G$5:$G$304,MATCH($P39,'対応履歴'!$J$5:$J$304,0))&amp;"",""))</f>
        <v/>
      </c>
      <c r="M39" s="9">
        <f>IF($P39="","",IFERROR(IF(INDEX('対応履歴'!$H$5:$H$304,MATCH($P39,'対応履歴'!$J$5:$J$304,0))="","",INDEX('対応履歴'!$H$5:$H$304,MATCH($P39,'対応履歴'!$J$5:$J$304,0))),""))</f>
        <v/>
      </c>
      <c r="N39" s="10">
        <f>IF($A39="","",IF($K39=0,"対応履歴なし",IF($M39="",IF($L39="","次回予定なし","期日未定"),IF($M39&lt;'次回アクション'!$B$2,"期日超過 "&amp;('次回アクション'!$B$2-$M39)&amp;"日",IF($M39='次回アクション'!$B$2,"今日","あと"&amp;($M39-'次回アクション'!$B$2)&amp;"日")))))</f>
        <v/>
      </c>
      <c r="O39" s="12">
        <f>IF($P39="","",IF($M39&lt;&gt;"",$M39+ROW()/100000,IF($L39&lt;&gt;"",100000+ROW()/100000,"")))</f>
        <v/>
      </c>
      <c r="P39" s="12">
        <f>IF(OR($A39="",$K39=0),"",_xlfn.MAXIFS('対応履歴'!$J$5:$J$304,'対応履歴'!$B$5:$B$304,$A39))</f>
        <v/>
      </c>
    </row>
    <row r="40">
      <c r="A40" s="7" t="n"/>
      <c r="B40" s="7" t="n"/>
      <c r="C40" s="8" t="n"/>
      <c r="D40" s="8" t="n"/>
      <c r="E40" s="8" t="n"/>
      <c r="F40" s="8" t="n"/>
      <c r="G40" s="7" t="n"/>
      <c r="H40" s="7" t="n"/>
      <c r="I40" s="8" t="n"/>
      <c r="J40" s="9">
        <f>IF($A40="","",IF($K40=0,"",_xlfn.MAXIFS('対応履歴'!$A$5:$A$304,'対応履歴'!$B$5:$B$304,$A40)))</f>
        <v/>
      </c>
      <c r="K40" s="10">
        <f>IF($A40="","",COUNTIF('対応履歴'!$B$5:$B$304,$A40))</f>
        <v/>
      </c>
      <c r="L40" s="11">
        <f>IF($P40="","",IFERROR(INDEX('対応履歴'!$G$5:$G$304,MATCH($P40,'対応履歴'!$J$5:$J$304,0))&amp;"",""))</f>
        <v/>
      </c>
      <c r="M40" s="9">
        <f>IF($P40="","",IFERROR(IF(INDEX('対応履歴'!$H$5:$H$304,MATCH($P40,'対応履歴'!$J$5:$J$304,0))="","",INDEX('対応履歴'!$H$5:$H$304,MATCH($P40,'対応履歴'!$J$5:$J$304,0))),""))</f>
        <v/>
      </c>
      <c r="N40" s="10">
        <f>IF($A40="","",IF($K40=0,"対応履歴なし",IF($M40="",IF($L40="","次回予定なし","期日未定"),IF($M40&lt;'次回アクション'!$B$2,"期日超過 "&amp;('次回アクション'!$B$2-$M40)&amp;"日",IF($M40='次回アクション'!$B$2,"今日","あと"&amp;($M40-'次回アクション'!$B$2)&amp;"日")))))</f>
        <v/>
      </c>
      <c r="O40" s="12">
        <f>IF($P40="","",IF($M40&lt;&gt;"",$M40+ROW()/100000,IF($L40&lt;&gt;"",100000+ROW()/100000,"")))</f>
        <v/>
      </c>
      <c r="P40" s="12">
        <f>IF(OR($A40="",$K40=0),"",_xlfn.MAXIFS('対応履歴'!$J$5:$J$304,'対応履歴'!$B$5:$B$304,$A40))</f>
        <v/>
      </c>
    </row>
    <row r="41">
      <c r="A41" s="7" t="n"/>
      <c r="B41" s="7" t="n"/>
      <c r="C41" s="8" t="n"/>
      <c r="D41" s="8" t="n"/>
      <c r="E41" s="8" t="n"/>
      <c r="F41" s="8" t="n"/>
      <c r="G41" s="7" t="n"/>
      <c r="H41" s="7" t="n"/>
      <c r="I41" s="8" t="n"/>
      <c r="J41" s="9">
        <f>IF($A41="","",IF($K41=0,"",_xlfn.MAXIFS('対応履歴'!$A$5:$A$304,'対応履歴'!$B$5:$B$304,$A41)))</f>
        <v/>
      </c>
      <c r="K41" s="10">
        <f>IF($A41="","",COUNTIF('対応履歴'!$B$5:$B$304,$A41))</f>
        <v/>
      </c>
      <c r="L41" s="11">
        <f>IF($P41="","",IFERROR(INDEX('対応履歴'!$G$5:$G$304,MATCH($P41,'対応履歴'!$J$5:$J$304,0))&amp;"",""))</f>
        <v/>
      </c>
      <c r="M41" s="9">
        <f>IF($P41="","",IFERROR(IF(INDEX('対応履歴'!$H$5:$H$304,MATCH($P41,'対応履歴'!$J$5:$J$304,0))="","",INDEX('対応履歴'!$H$5:$H$304,MATCH($P41,'対応履歴'!$J$5:$J$304,0))),""))</f>
        <v/>
      </c>
      <c r="N41" s="10">
        <f>IF($A41="","",IF($K41=0,"対応履歴なし",IF($M41="",IF($L41="","次回予定なし","期日未定"),IF($M41&lt;'次回アクション'!$B$2,"期日超過 "&amp;('次回アクション'!$B$2-$M41)&amp;"日",IF($M41='次回アクション'!$B$2,"今日","あと"&amp;($M41-'次回アクション'!$B$2)&amp;"日")))))</f>
        <v/>
      </c>
      <c r="O41" s="12">
        <f>IF($P41="","",IF($M41&lt;&gt;"",$M41+ROW()/100000,IF($L41&lt;&gt;"",100000+ROW()/100000,"")))</f>
        <v/>
      </c>
      <c r="P41" s="12">
        <f>IF(OR($A41="",$K41=0),"",_xlfn.MAXIFS('対応履歴'!$J$5:$J$304,'対応履歴'!$B$5:$B$304,$A41))</f>
        <v/>
      </c>
    </row>
    <row r="42">
      <c r="A42" s="7" t="n"/>
      <c r="B42" s="7" t="n"/>
      <c r="C42" s="8" t="n"/>
      <c r="D42" s="8" t="n"/>
      <c r="E42" s="8" t="n"/>
      <c r="F42" s="8" t="n"/>
      <c r="G42" s="7" t="n"/>
      <c r="H42" s="7" t="n"/>
      <c r="I42" s="8" t="n"/>
      <c r="J42" s="9">
        <f>IF($A42="","",IF($K42=0,"",_xlfn.MAXIFS('対応履歴'!$A$5:$A$304,'対応履歴'!$B$5:$B$304,$A42)))</f>
        <v/>
      </c>
      <c r="K42" s="10">
        <f>IF($A42="","",COUNTIF('対応履歴'!$B$5:$B$304,$A42))</f>
        <v/>
      </c>
      <c r="L42" s="11">
        <f>IF($P42="","",IFERROR(INDEX('対応履歴'!$G$5:$G$304,MATCH($P42,'対応履歴'!$J$5:$J$304,0))&amp;"",""))</f>
        <v/>
      </c>
      <c r="M42" s="9">
        <f>IF($P42="","",IFERROR(IF(INDEX('対応履歴'!$H$5:$H$304,MATCH($P42,'対応履歴'!$J$5:$J$304,0))="","",INDEX('対応履歴'!$H$5:$H$304,MATCH($P42,'対応履歴'!$J$5:$J$304,0))),""))</f>
        <v/>
      </c>
      <c r="N42" s="10">
        <f>IF($A42="","",IF($K42=0,"対応履歴なし",IF($M42="",IF($L42="","次回予定なし","期日未定"),IF($M42&lt;'次回アクション'!$B$2,"期日超過 "&amp;('次回アクション'!$B$2-$M42)&amp;"日",IF($M42='次回アクション'!$B$2,"今日","あと"&amp;($M42-'次回アクション'!$B$2)&amp;"日")))))</f>
        <v/>
      </c>
      <c r="O42" s="12">
        <f>IF($P42="","",IF($M42&lt;&gt;"",$M42+ROW()/100000,IF($L42&lt;&gt;"",100000+ROW()/100000,"")))</f>
        <v/>
      </c>
      <c r="P42" s="12">
        <f>IF(OR($A42="",$K42=0),"",_xlfn.MAXIFS('対応履歴'!$J$5:$J$304,'対応履歴'!$B$5:$B$304,$A42))</f>
        <v/>
      </c>
    </row>
    <row r="43">
      <c r="A43" s="7" t="n"/>
      <c r="B43" s="7" t="n"/>
      <c r="C43" s="8" t="n"/>
      <c r="D43" s="8" t="n"/>
      <c r="E43" s="8" t="n"/>
      <c r="F43" s="8" t="n"/>
      <c r="G43" s="7" t="n"/>
      <c r="H43" s="7" t="n"/>
      <c r="I43" s="8" t="n"/>
      <c r="J43" s="9">
        <f>IF($A43="","",IF($K43=0,"",_xlfn.MAXIFS('対応履歴'!$A$5:$A$304,'対応履歴'!$B$5:$B$304,$A43)))</f>
        <v/>
      </c>
      <c r="K43" s="10">
        <f>IF($A43="","",COUNTIF('対応履歴'!$B$5:$B$304,$A43))</f>
        <v/>
      </c>
      <c r="L43" s="11">
        <f>IF($P43="","",IFERROR(INDEX('対応履歴'!$G$5:$G$304,MATCH($P43,'対応履歴'!$J$5:$J$304,0))&amp;"",""))</f>
        <v/>
      </c>
      <c r="M43" s="9">
        <f>IF($P43="","",IFERROR(IF(INDEX('対応履歴'!$H$5:$H$304,MATCH($P43,'対応履歴'!$J$5:$J$304,0))="","",INDEX('対応履歴'!$H$5:$H$304,MATCH($P43,'対応履歴'!$J$5:$J$304,0))),""))</f>
        <v/>
      </c>
      <c r="N43" s="10">
        <f>IF($A43="","",IF($K43=0,"対応履歴なし",IF($M43="",IF($L43="","次回予定なし","期日未定"),IF($M43&lt;'次回アクション'!$B$2,"期日超過 "&amp;('次回アクション'!$B$2-$M43)&amp;"日",IF($M43='次回アクション'!$B$2,"今日","あと"&amp;($M43-'次回アクション'!$B$2)&amp;"日")))))</f>
        <v/>
      </c>
      <c r="O43" s="12">
        <f>IF($P43="","",IF($M43&lt;&gt;"",$M43+ROW()/100000,IF($L43&lt;&gt;"",100000+ROW()/100000,"")))</f>
        <v/>
      </c>
      <c r="P43" s="12">
        <f>IF(OR($A43="",$K43=0),"",_xlfn.MAXIFS('対応履歴'!$J$5:$J$304,'対応履歴'!$B$5:$B$304,$A43))</f>
        <v/>
      </c>
    </row>
    <row r="44">
      <c r="A44" s="7" t="n"/>
      <c r="B44" s="7" t="n"/>
      <c r="C44" s="8" t="n"/>
      <c r="D44" s="8" t="n"/>
      <c r="E44" s="8" t="n"/>
      <c r="F44" s="8" t="n"/>
      <c r="G44" s="7" t="n"/>
      <c r="H44" s="7" t="n"/>
      <c r="I44" s="8" t="n"/>
      <c r="J44" s="9">
        <f>IF($A44="","",IF($K44=0,"",_xlfn.MAXIFS('対応履歴'!$A$5:$A$304,'対応履歴'!$B$5:$B$304,$A44)))</f>
        <v/>
      </c>
      <c r="K44" s="10">
        <f>IF($A44="","",COUNTIF('対応履歴'!$B$5:$B$304,$A44))</f>
        <v/>
      </c>
      <c r="L44" s="11">
        <f>IF($P44="","",IFERROR(INDEX('対応履歴'!$G$5:$G$304,MATCH($P44,'対応履歴'!$J$5:$J$304,0))&amp;"",""))</f>
        <v/>
      </c>
      <c r="M44" s="9">
        <f>IF($P44="","",IFERROR(IF(INDEX('対応履歴'!$H$5:$H$304,MATCH($P44,'対応履歴'!$J$5:$J$304,0))="","",INDEX('対応履歴'!$H$5:$H$304,MATCH($P44,'対応履歴'!$J$5:$J$304,0))),""))</f>
        <v/>
      </c>
      <c r="N44" s="10">
        <f>IF($A44="","",IF($K44=0,"対応履歴なし",IF($M44="",IF($L44="","次回予定なし","期日未定"),IF($M44&lt;'次回アクション'!$B$2,"期日超過 "&amp;('次回アクション'!$B$2-$M44)&amp;"日",IF($M44='次回アクション'!$B$2,"今日","あと"&amp;($M44-'次回アクション'!$B$2)&amp;"日")))))</f>
        <v/>
      </c>
      <c r="O44" s="12">
        <f>IF($P44="","",IF($M44&lt;&gt;"",$M44+ROW()/100000,IF($L44&lt;&gt;"",100000+ROW()/100000,"")))</f>
        <v/>
      </c>
      <c r="P44" s="12">
        <f>IF(OR($A44="",$K44=0),"",_xlfn.MAXIFS('対応履歴'!$J$5:$J$304,'対応履歴'!$B$5:$B$304,$A44))</f>
        <v/>
      </c>
    </row>
    <row r="45">
      <c r="A45" s="7" t="n"/>
      <c r="B45" s="7" t="n"/>
      <c r="C45" s="8" t="n"/>
      <c r="D45" s="8" t="n"/>
      <c r="E45" s="8" t="n"/>
      <c r="F45" s="8" t="n"/>
      <c r="G45" s="7" t="n"/>
      <c r="H45" s="7" t="n"/>
      <c r="I45" s="8" t="n"/>
      <c r="J45" s="9">
        <f>IF($A45="","",IF($K45=0,"",_xlfn.MAXIFS('対応履歴'!$A$5:$A$304,'対応履歴'!$B$5:$B$304,$A45)))</f>
        <v/>
      </c>
      <c r="K45" s="10">
        <f>IF($A45="","",COUNTIF('対応履歴'!$B$5:$B$304,$A45))</f>
        <v/>
      </c>
      <c r="L45" s="11">
        <f>IF($P45="","",IFERROR(INDEX('対応履歴'!$G$5:$G$304,MATCH($P45,'対応履歴'!$J$5:$J$304,0))&amp;"",""))</f>
        <v/>
      </c>
      <c r="M45" s="9">
        <f>IF($P45="","",IFERROR(IF(INDEX('対応履歴'!$H$5:$H$304,MATCH($P45,'対応履歴'!$J$5:$J$304,0))="","",INDEX('対応履歴'!$H$5:$H$304,MATCH($P45,'対応履歴'!$J$5:$J$304,0))),""))</f>
        <v/>
      </c>
      <c r="N45" s="10">
        <f>IF($A45="","",IF($K45=0,"対応履歴なし",IF($M45="",IF($L45="","次回予定なし","期日未定"),IF($M45&lt;'次回アクション'!$B$2,"期日超過 "&amp;('次回アクション'!$B$2-$M45)&amp;"日",IF($M45='次回アクション'!$B$2,"今日","あと"&amp;($M45-'次回アクション'!$B$2)&amp;"日")))))</f>
        <v/>
      </c>
      <c r="O45" s="12">
        <f>IF($P45="","",IF($M45&lt;&gt;"",$M45+ROW()/100000,IF($L45&lt;&gt;"",100000+ROW()/100000,"")))</f>
        <v/>
      </c>
      <c r="P45" s="12">
        <f>IF(OR($A45="",$K45=0),"",_xlfn.MAXIFS('対応履歴'!$J$5:$J$304,'対応履歴'!$B$5:$B$304,$A45))</f>
        <v/>
      </c>
    </row>
    <row r="46">
      <c r="A46" s="7" t="n"/>
      <c r="B46" s="7" t="n"/>
      <c r="C46" s="8" t="n"/>
      <c r="D46" s="8" t="n"/>
      <c r="E46" s="8" t="n"/>
      <c r="F46" s="8" t="n"/>
      <c r="G46" s="7" t="n"/>
      <c r="H46" s="7" t="n"/>
      <c r="I46" s="8" t="n"/>
      <c r="J46" s="9">
        <f>IF($A46="","",IF($K46=0,"",_xlfn.MAXIFS('対応履歴'!$A$5:$A$304,'対応履歴'!$B$5:$B$304,$A46)))</f>
        <v/>
      </c>
      <c r="K46" s="10">
        <f>IF($A46="","",COUNTIF('対応履歴'!$B$5:$B$304,$A46))</f>
        <v/>
      </c>
      <c r="L46" s="11">
        <f>IF($P46="","",IFERROR(INDEX('対応履歴'!$G$5:$G$304,MATCH($P46,'対応履歴'!$J$5:$J$304,0))&amp;"",""))</f>
        <v/>
      </c>
      <c r="M46" s="9">
        <f>IF($P46="","",IFERROR(IF(INDEX('対応履歴'!$H$5:$H$304,MATCH($P46,'対応履歴'!$J$5:$J$304,0))="","",INDEX('対応履歴'!$H$5:$H$304,MATCH($P46,'対応履歴'!$J$5:$J$304,0))),""))</f>
        <v/>
      </c>
      <c r="N46" s="10">
        <f>IF($A46="","",IF($K46=0,"対応履歴なし",IF($M46="",IF($L46="","次回予定なし","期日未定"),IF($M46&lt;'次回アクション'!$B$2,"期日超過 "&amp;('次回アクション'!$B$2-$M46)&amp;"日",IF($M46='次回アクション'!$B$2,"今日","あと"&amp;($M46-'次回アクション'!$B$2)&amp;"日")))))</f>
        <v/>
      </c>
      <c r="O46" s="12">
        <f>IF($P46="","",IF($M46&lt;&gt;"",$M46+ROW()/100000,IF($L46&lt;&gt;"",100000+ROW()/100000,"")))</f>
        <v/>
      </c>
      <c r="P46" s="12">
        <f>IF(OR($A46="",$K46=0),"",_xlfn.MAXIFS('対応履歴'!$J$5:$J$304,'対応履歴'!$B$5:$B$304,$A46))</f>
        <v/>
      </c>
    </row>
    <row r="47">
      <c r="A47" s="7" t="n"/>
      <c r="B47" s="7" t="n"/>
      <c r="C47" s="8" t="n"/>
      <c r="D47" s="8" t="n"/>
      <c r="E47" s="8" t="n"/>
      <c r="F47" s="8" t="n"/>
      <c r="G47" s="7" t="n"/>
      <c r="H47" s="7" t="n"/>
      <c r="I47" s="8" t="n"/>
      <c r="J47" s="9">
        <f>IF($A47="","",IF($K47=0,"",_xlfn.MAXIFS('対応履歴'!$A$5:$A$304,'対応履歴'!$B$5:$B$304,$A47)))</f>
        <v/>
      </c>
      <c r="K47" s="10">
        <f>IF($A47="","",COUNTIF('対応履歴'!$B$5:$B$304,$A47))</f>
        <v/>
      </c>
      <c r="L47" s="11">
        <f>IF($P47="","",IFERROR(INDEX('対応履歴'!$G$5:$G$304,MATCH($P47,'対応履歴'!$J$5:$J$304,0))&amp;"",""))</f>
        <v/>
      </c>
      <c r="M47" s="9">
        <f>IF($P47="","",IFERROR(IF(INDEX('対応履歴'!$H$5:$H$304,MATCH($P47,'対応履歴'!$J$5:$J$304,0))="","",INDEX('対応履歴'!$H$5:$H$304,MATCH($P47,'対応履歴'!$J$5:$J$304,0))),""))</f>
        <v/>
      </c>
      <c r="N47" s="10">
        <f>IF($A47="","",IF($K47=0,"対応履歴なし",IF($M47="",IF($L47="","次回予定なし","期日未定"),IF($M47&lt;'次回アクション'!$B$2,"期日超過 "&amp;('次回アクション'!$B$2-$M47)&amp;"日",IF($M47='次回アクション'!$B$2,"今日","あと"&amp;($M47-'次回アクション'!$B$2)&amp;"日")))))</f>
        <v/>
      </c>
      <c r="O47" s="12">
        <f>IF($P47="","",IF($M47&lt;&gt;"",$M47+ROW()/100000,IF($L47&lt;&gt;"",100000+ROW()/100000,"")))</f>
        <v/>
      </c>
      <c r="P47" s="12">
        <f>IF(OR($A47="",$K47=0),"",_xlfn.MAXIFS('対応履歴'!$J$5:$J$304,'対応履歴'!$B$5:$B$304,$A47))</f>
        <v/>
      </c>
    </row>
    <row r="48">
      <c r="A48" s="7" t="n"/>
      <c r="B48" s="7" t="n"/>
      <c r="C48" s="8" t="n"/>
      <c r="D48" s="8" t="n"/>
      <c r="E48" s="8" t="n"/>
      <c r="F48" s="8" t="n"/>
      <c r="G48" s="7" t="n"/>
      <c r="H48" s="7" t="n"/>
      <c r="I48" s="8" t="n"/>
      <c r="J48" s="9">
        <f>IF($A48="","",IF($K48=0,"",_xlfn.MAXIFS('対応履歴'!$A$5:$A$304,'対応履歴'!$B$5:$B$304,$A48)))</f>
        <v/>
      </c>
      <c r="K48" s="10">
        <f>IF($A48="","",COUNTIF('対応履歴'!$B$5:$B$304,$A48))</f>
        <v/>
      </c>
      <c r="L48" s="11">
        <f>IF($P48="","",IFERROR(INDEX('対応履歴'!$G$5:$G$304,MATCH($P48,'対応履歴'!$J$5:$J$304,0))&amp;"",""))</f>
        <v/>
      </c>
      <c r="M48" s="9">
        <f>IF($P48="","",IFERROR(IF(INDEX('対応履歴'!$H$5:$H$304,MATCH($P48,'対応履歴'!$J$5:$J$304,0))="","",INDEX('対応履歴'!$H$5:$H$304,MATCH($P48,'対応履歴'!$J$5:$J$304,0))),""))</f>
        <v/>
      </c>
      <c r="N48" s="10">
        <f>IF($A48="","",IF($K48=0,"対応履歴なし",IF($M48="",IF($L48="","次回予定なし","期日未定"),IF($M48&lt;'次回アクション'!$B$2,"期日超過 "&amp;('次回アクション'!$B$2-$M48)&amp;"日",IF($M48='次回アクション'!$B$2,"今日","あと"&amp;($M48-'次回アクション'!$B$2)&amp;"日")))))</f>
        <v/>
      </c>
      <c r="O48" s="12">
        <f>IF($P48="","",IF($M48&lt;&gt;"",$M48+ROW()/100000,IF($L48&lt;&gt;"",100000+ROW()/100000,"")))</f>
        <v/>
      </c>
      <c r="P48" s="12">
        <f>IF(OR($A48="",$K48=0),"",_xlfn.MAXIFS('対応履歴'!$J$5:$J$304,'対応履歴'!$B$5:$B$304,$A48))</f>
        <v/>
      </c>
    </row>
    <row r="49">
      <c r="A49" s="7" t="n"/>
      <c r="B49" s="7" t="n"/>
      <c r="C49" s="8" t="n"/>
      <c r="D49" s="8" t="n"/>
      <c r="E49" s="8" t="n"/>
      <c r="F49" s="8" t="n"/>
      <c r="G49" s="7" t="n"/>
      <c r="H49" s="7" t="n"/>
      <c r="I49" s="8" t="n"/>
      <c r="J49" s="9">
        <f>IF($A49="","",IF($K49=0,"",_xlfn.MAXIFS('対応履歴'!$A$5:$A$304,'対応履歴'!$B$5:$B$304,$A49)))</f>
        <v/>
      </c>
      <c r="K49" s="10">
        <f>IF($A49="","",COUNTIF('対応履歴'!$B$5:$B$304,$A49))</f>
        <v/>
      </c>
      <c r="L49" s="11">
        <f>IF($P49="","",IFERROR(INDEX('対応履歴'!$G$5:$G$304,MATCH($P49,'対応履歴'!$J$5:$J$304,0))&amp;"",""))</f>
        <v/>
      </c>
      <c r="M49" s="9">
        <f>IF($P49="","",IFERROR(IF(INDEX('対応履歴'!$H$5:$H$304,MATCH($P49,'対応履歴'!$J$5:$J$304,0))="","",INDEX('対応履歴'!$H$5:$H$304,MATCH($P49,'対応履歴'!$J$5:$J$304,0))),""))</f>
        <v/>
      </c>
      <c r="N49" s="10">
        <f>IF($A49="","",IF($K49=0,"対応履歴なし",IF($M49="",IF($L49="","次回予定なし","期日未定"),IF($M49&lt;'次回アクション'!$B$2,"期日超過 "&amp;('次回アクション'!$B$2-$M49)&amp;"日",IF($M49='次回アクション'!$B$2,"今日","あと"&amp;($M49-'次回アクション'!$B$2)&amp;"日")))))</f>
        <v/>
      </c>
      <c r="O49" s="12">
        <f>IF($P49="","",IF($M49&lt;&gt;"",$M49+ROW()/100000,IF($L49&lt;&gt;"",100000+ROW()/100000,"")))</f>
        <v/>
      </c>
      <c r="P49" s="12">
        <f>IF(OR($A49="",$K49=0),"",_xlfn.MAXIFS('対応履歴'!$J$5:$J$304,'対応履歴'!$B$5:$B$304,$A49))</f>
        <v/>
      </c>
    </row>
    <row r="50">
      <c r="A50" s="7" t="n"/>
      <c r="B50" s="7" t="n"/>
      <c r="C50" s="8" t="n"/>
      <c r="D50" s="8" t="n"/>
      <c r="E50" s="8" t="n"/>
      <c r="F50" s="8" t="n"/>
      <c r="G50" s="7" t="n"/>
      <c r="H50" s="7" t="n"/>
      <c r="I50" s="8" t="n"/>
      <c r="J50" s="9">
        <f>IF($A50="","",IF($K50=0,"",_xlfn.MAXIFS('対応履歴'!$A$5:$A$304,'対応履歴'!$B$5:$B$304,$A50)))</f>
        <v/>
      </c>
      <c r="K50" s="10">
        <f>IF($A50="","",COUNTIF('対応履歴'!$B$5:$B$304,$A50))</f>
        <v/>
      </c>
      <c r="L50" s="11">
        <f>IF($P50="","",IFERROR(INDEX('対応履歴'!$G$5:$G$304,MATCH($P50,'対応履歴'!$J$5:$J$304,0))&amp;"",""))</f>
        <v/>
      </c>
      <c r="M50" s="9">
        <f>IF($P50="","",IFERROR(IF(INDEX('対応履歴'!$H$5:$H$304,MATCH($P50,'対応履歴'!$J$5:$J$304,0))="","",INDEX('対応履歴'!$H$5:$H$304,MATCH($P50,'対応履歴'!$J$5:$J$304,0))),""))</f>
        <v/>
      </c>
      <c r="N50" s="10">
        <f>IF($A50="","",IF($K50=0,"対応履歴なし",IF($M50="",IF($L50="","次回予定なし","期日未定"),IF($M50&lt;'次回アクション'!$B$2,"期日超過 "&amp;('次回アクション'!$B$2-$M50)&amp;"日",IF($M50='次回アクション'!$B$2,"今日","あと"&amp;($M50-'次回アクション'!$B$2)&amp;"日")))))</f>
        <v/>
      </c>
      <c r="O50" s="12">
        <f>IF($P50="","",IF($M50&lt;&gt;"",$M50+ROW()/100000,IF($L50&lt;&gt;"",100000+ROW()/100000,"")))</f>
        <v/>
      </c>
      <c r="P50" s="12">
        <f>IF(OR($A50="",$K50=0),"",_xlfn.MAXIFS('対応履歴'!$J$5:$J$304,'対応履歴'!$B$5:$B$304,$A50))</f>
        <v/>
      </c>
    </row>
    <row r="51">
      <c r="A51" s="7" t="n"/>
      <c r="B51" s="7" t="n"/>
      <c r="C51" s="8" t="n"/>
      <c r="D51" s="8" t="n"/>
      <c r="E51" s="8" t="n"/>
      <c r="F51" s="8" t="n"/>
      <c r="G51" s="7" t="n"/>
      <c r="H51" s="7" t="n"/>
      <c r="I51" s="8" t="n"/>
      <c r="J51" s="9">
        <f>IF($A51="","",IF($K51=0,"",_xlfn.MAXIFS('対応履歴'!$A$5:$A$304,'対応履歴'!$B$5:$B$304,$A51)))</f>
        <v/>
      </c>
      <c r="K51" s="10">
        <f>IF($A51="","",COUNTIF('対応履歴'!$B$5:$B$304,$A51))</f>
        <v/>
      </c>
      <c r="L51" s="11">
        <f>IF($P51="","",IFERROR(INDEX('対応履歴'!$G$5:$G$304,MATCH($P51,'対応履歴'!$J$5:$J$304,0))&amp;"",""))</f>
        <v/>
      </c>
      <c r="M51" s="9">
        <f>IF($P51="","",IFERROR(IF(INDEX('対応履歴'!$H$5:$H$304,MATCH($P51,'対応履歴'!$J$5:$J$304,0))="","",INDEX('対応履歴'!$H$5:$H$304,MATCH($P51,'対応履歴'!$J$5:$J$304,0))),""))</f>
        <v/>
      </c>
      <c r="N51" s="10">
        <f>IF($A51="","",IF($K51=0,"対応履歴なし",IF($M51="",IF($L51="","次回予定なし","期日未定"),IF($M51&lt;'次回アクション'!$B$2,"期日超過 "&amp;('次回アクション'!$B$2-$M51)&amp;"日",IF($M51='次回アクション'!$B$2,"今日","あと"&amp;($M51-'次回アクション'!$B$2)&amp;"日")))))</f>
        <v/>
      </c>
      <c r="O51" s="12">
        <f>IF($P51="","",IF($M51&lt;&gt;"",$M51+ROW()/100000,IF($L51&lt;&gt;"",100000+ROW()/100000,"")))</f>
        <v/>
      </c>
      <c r="P51" s="12">
        <f>IF(OR($A51="",$K51=0),"",_xlfn.MAXIFS('対応履歴'!$J$5:$J$304,'対応履歴'!$B$5:$B$304,$A51))</f>
        <v/>
      </c>
    </row>
    <row r="52">
      <c r="A52" s="7" t="n"/>
      <c r="B52" s="7" t="n"/>
      <c r="C52" s="8" t="n"/>
      <c r="D52" s="8" t="n"/>
      <c r="E52" s="8" t="n"/>
      <c r="F52" s="8" t="n"/>
      <c r="G52" s="7" t="n"/>
      <c r="H52" s="7" t="n"/>
      <c r="I52" s="8" t="n"/>
      <c r="J52" s="9">
        <f>IF($A52="","",IF($K52=0,"",_xlfn.MAXIFS('対応履歴'!$A$5:$A$304,'対応履歴'!$B$5:$B$304,$A52)))</f>
        <v/>
      </c>
      <c r="K52" s="10">
        <f>IF($A52="","",COUNTIF('対応履歴'!$B$5:$B$304,$A52))</f>
        <v/>
      </c>
      <c r="L52" s="11">
        <f>IF($P52="","",IFERROR(INDEX('対応履歴'!$G$5:$G$304,MATCH($P52,'対応履歴'!$J$5:$J$304,0))&amp;"",""))</f>
        <v/>
      </c>
      <c r="M52" s="9">
        <f>IF($P52="","",IFERROR(IF(INDEX('対応履歴'!$H$5:$H$304,MATCH($P52,'対応履歴'!$J$5:$J$304,0))="","",INDEX('対応履歴'!$H$5:$H$304,MATCH($P52,'対応履歴'!$J$5:$J$304,0))),""))</f>
        <v/>
      </c>
      <c r="N52" s="10">
        <f>IF($A52="","",IF($K52=0,"対応履歴なし",IF($M52="",IF($L52="","次回予定なし","期日未定"),IF($M52&lt;'次回アクション'!$B$2,"期日超過 "&amp;('次回アクション'!$B$2-$M52)&amp;"日",IF($M52='次回アクション'!$B$2,"今日","あと"&amp;($M52-'次回アクション'!$B$2)&amp;"日")))))</f>
        <v/>
      </c>
      <c r="O52" s="12">
        <f>IF($P52="","",IF($M52&lt;&gt;"",$M52+ROW()/100000,IF($L52&lt;&gt;"",100000+ROW()/100000,"")))</f>
        <v/>
      </c>
      <c r="P52" s="12">
        <f>IF(OR($A52="",$K52=0),"",_xlfn.MAXIFS('対応履歴'!$J$5:$J$304,'対応履歴'!$B$5:$B$304,$A52))</f>
        <v/>
      </c>
    </row>
    <row r="53">
      <c r="A53" s="7" t="n"/>
      <c r="B53" s="7" t="n"/>
      <c r="C53" s="8" t="n"/>
      <c r="D53" s="8" t="n"/>
      <c r="E53" s="8" t="n"/>
      <c r="F53" s="8" t="n"/>
      <c r="G53" s="7" t="n"/>
      <c r="H53" s="7" t="n"/>
      <c r="I53" s="8" t="n"/>
      <c r="J53" s="9">
        <f>IF($A53="","",IF($K53=0,"",_xlfn.MAXIFS('対応履歴'!$A$5:$A$304,'対応履歴'!$B$5:$B$304,$A53)))</f>
        <v/>
      </c>
      <c r="K53" s="10">
        <f>IF($A53="","",COUNTIF('対応履歴'!$B$5:$B$304,$A53))</f>
        <v/>
      </c>
      <c r="L53" s="11">
        <f>IF($P53="","",IFERROR(INDEX('対応履歴'!$G$5:$G$304,MATCH($P53,'対応履歴'!$J$5:$J$304,0))&amp;"",""))</f>
        <v/>
      </c>
      <c r="M53" s="9">
        <f>IF($P53="","",IFERROR(IF(INDEX('対応履歴'!$H$5:$H$304,MATCH($P53,'対応履歴'!$J$5:$J$304,0))="","",INDEX('対応履歴'!$H$5:$H$304,MATCH($P53,'対応履歴'!$J$5:$J$304,0))),""))</f>
        <v/>
      </c>
      <c r="N53" s="10">
        <f>IF($A53="","",IF($K53=0,"対応履歴なし",IF($M53="",IF($L53="","次回予定なし","期日未定"),IF($M53&lt;'次回アクション'!$B$2,"期日超過 "&amp;('次回アクション'!$B$2-$M53)&amp;"日",IF($M53='次回アクション'!$B$2,"今日","あと"&amp;($M53-'次回アクション'!$B$2)&amp;"日")))))</f>
        <v/>
      </c>
      <c r="O53" s="12">
        <f>IF($P53="","",IF($M53&lt;&gt;"",$M53+ROW()/100000,IF($L53&lt;&gt;"",100000+ROW()/100000,"")))</f>
        <v/>
      </c>
      <c r="P53" s="12">
        <f>IF(OR($A53="",$K53=0),"",_xlfn.MAXIFS('対応履歴'!$J$5:$J$304,'対応履歴'!$B$5:$B$304,$A53))</f>
        <v/>
      </c>
    </row>
    <row r="54">
      <c r="A54" s="7" t="n"/>
      <c r="B54" s="7" t="n"/>
      <c r="C54" s="8" t="n"/>
      <c r="D54" s="8" t="n"/>
      <c r="E54" s="8" t="n"/>
      <c r="F54" s="8" t="n"/>
      <c r="G54" s="7" t="n"/>
      <c r="H54" s="7" t="n"/>
      <c r="I54" s="8" t="n"/>
      <c r="J54" s="9">
        <f>IF($A54="","",IF($K54=0,"",_xlfn.MAXIFS('対応履歴'!$A$5:$A$304,'対応履歴'!$B$5:$B$304,$A54)))</f>
        <v/>
      </c>
      <c r="K54" s="10">
        <f>IF($A54="","",COUNTIF('対応履歴'!$B$5:$B$304,$A54))</f>
        <v/>
      </c>
      <c r="L54" s="11">
        <f>IF($P54="","",IFERROR(INDEX('対応履歴'!$G$5:$G$304,MATCH($P54,'対応履歴'!$J$5:$J$304,0))&amp;"",""))</f>
        <v/>
      </c>
      <c r="M54" s="9">
        <f>IF($P54="","",IFERROR(IF(INDEX('対応履歴'!$H$5:$H$304,MATCH($P54,'対応履歴'!$J$5:$J$304,0))="","",INDEX('対応履歴'!$H$5:$H$304,MATCH($P54,'対応履歴'!$J$5:$J$304,0))),""))</f>
        <v/>
      </c>
      <c r="N54" s="10">
        <f>IF($A54="","",IF($K54=0,"対応履歴なし",IF($M54="",IF($L54="","次回予定なし","期日未定"),IF($M54&lt;'次回アクション'!$B$2,"期日超過 "&amp;('次回アクション'!$B$2-$M54)&amp;"日",IF($M54='次回アクション'!$B$2,"今日","あと"&amp;($M54-'次回アクション'!$B$2)&amp;"日")))))</f>
        <v/>
      </c>
      <c r="O54" s="12">
        <f>IF($P54="","",IF($M54&lt;&gt;"",$M54+ROW()/100000,IF($L54&lt;&gt;"",100000+ROW()/100000,"")))</f>
        <v/>
      </c>
      <c r="P54" s="12">
        <f>IF(OR($A54="",$K54=0),"",_xlfn.MAXIFS('対応履歴'!$J$5:$J$304,'対応履歴'!$B$5:$B$304,$A54))</f>
        <v/>
      </c>
    </row>
    <row r="55">
      <c r="A55" s="7" t="n"/>
      <c r="B55" s="7" t="n"/>
      <c r="C55" s="8" t="n"/>
      <c r="D55" s="8" t="n"/>
      <c r="E55" s="8" t="n"/>
      <c r="F55" s="8" t="n"/>
      <c r="G55" s="7" t="n"/>
      <c r="H55" s="7" t="n"/>
      <c r="I55" s="8" t="n"/>
      <c r="J55" s="9">
        <f>IF($A55="","",IF($K55=0,"",_xlfn.MAXIFS('対応履歴'!$A$5:$A$304,'対応履歴'!$B$5:$B$304,$A55)))</f>
        <v/>
      </c>
      <c r="K55" s="10">
        <f>IF($A55="","",COUNTIF('対応履歴'!$B$5:$B$304,$A55))</f>
        <v/>
      </c>
      <c r="L55" s="11">
        <f>IF($P55="","",IFERROR(INDEX('対応履歴'!$G$5:$G$304,MATCH($P55,'対応履歴'!$J$5:$J$304,0))&amp;"",""))</f>
        <v/>
      </c>
      <c r="M55" s="9">
        <f>IF($P55="","",IFERROR(IF(INDEX('対応履歴'!$H$5:$H$304,MATCH($P55,'対応履歴'!$J$5:$J$304,0))="","",INDEX('対応履歴'!$H$5:$H$304,MATCH($P55,'対応履歴'!$J$5:$J$304,0))),""))</f>
        <v/>
      </c>
      <c r="N55" s="10">
        <f>IF($A55="","",IF($K55=0,"対応履歴なし",IF($M55="",IF($L55="","次回予定なし","期日未定"),IF($M55&lt;'次回アクション'!$B$2,"期日超過 "&amp;('次回アクション'!$B$2-$M55)&amp;"日",IF($M55='次回アクション'!$B$2,"今日","あと"&amp;($M55-'次回アクション'!$B$2)&amp;"日")))))</f>
        <v/>
      </c>
      <c r="O55" s="12">
        <f>IF($P55="","",IF($M55&lt;&gt;"",$M55+ROW()/100000,IF($L55&lt;&gt;"",100000+ROW()/100000,"")))</f>
        <v/>
      </c>
      <c r="P55" s="12">
        <f>IF(OR($A55="",$K55=0),"",_xlfn.MAXIFS('対応履歴'!$J$5:$J$304,'対応履歴'!$B$5:$B$304,$A55))</f>
        <v/>
      </c>
    </row>
    <row r="56">
      <c r="A56" s="7" t="n"/>
      <c r="B56" s="7" t="n"/>
      <c r="C56" s="8" t="n"/>
      <c r="D56" s="8" t="n"/>
      <c r="E56" s="8" t="n"/>
      <c r="F56" s="8" t="n"/>
      <c r="G56" s="7" t="n"/>
      <c r="H56" s="7" t="n"/>
      <c r="I56" s="8" t="n"/>
      <c r="J56" s="9">
        <f>IF($A56="","",IF($K56=0,"",_xlfn.MAXIFS('対応履歴'!$A$5:$A$304,'対応履歴'!$B$5:$B$304,$A56)))</f>
        <v/>
      </c>
      <c r="K56" s="10">
        <f>IF($A56="","",COUNTIF('対応履歴'!$B$5:$B$304,$A56))</f>
        <v/>
      </c>
      <c r="L56" s="11">
        <f>IF($P56="","",IFERROR(INDEX('対応履歴'!$G$5:$G$304,MATCH($P56,'対応履歴'!$J$5:$J$304,0))&amp;"",""))</f>
        <v/>
      </c>
      <c r="M56" s="9">
        <f>IF($P56="","",IFERROR(IF(INDEX('対応履歴'!$H$5:$H$304,MATCH($P56,'対応履歴'!$J$5:$J$304,0))="","",INDEX('対応履歴'!$H$5:$H$304,MATCH($P56,'対応履歴'!$J$5:$J$304,0))),""))</f>
        <v/>
      </c>
      <c r="N56" s="10">
        <f>IF($A56="","",IF($K56=0,"対応履歴なし",IF($M56="",IF($L56="","次回予定なし","期日未定"),IF($M56&lt;'次回アクション'!$B$2,"期日超過 "&amp;('次回アクション'!$B$2-$M56)&amp;"日",IF($M56='次回アクション'!$B$2,"今日","あと"&amp;($M56-'次回アクション'!$B$2)&amp;"日")))))</f>
        <v/>
      </c>
      <c r="O56" s="12">
        <f>IF($P56="","",IF($M56&lt;&gt;"",$M56+ROW()/100000,IF($L56&lt;&gt;"",100000+ROW()/100000,"")))</f>
        <v/>
      </c>
      <c r="P56" s="12">
        <f>IF(OR($A56="",$K56=0),"",_xlfn.MAXIFS('対応履歴'!$J$5:$J$304,'対応履歴'!$B$5:$B$304,$A56))</f>
        <v/>
      </c>
    </row>
    <row r="57">
      <c r="A57" s="7" t="n"/>
      <c r="B57" s="7" t="n"/>
      <c r="C57" s="8" t="n"/>
      <c r="D57" s="8" t="n"/>
      <c r="E57" s="8" t="n"/>
      <c r="F57" s="8" t="n"/>
      <c r="G57" s="7" t="n"/>
      <c r="H57" s="7" t="n"/>
      <c r="I57" s="8" t="n"/>
      <c r="J57" s="9">
        <f>IF($A57="","",IF($K57=0,"",_xlfn.MAXIFS('対応履歴'!$A$5:$A$304,'対応履歴'!$B$5:$B$304,$A57)))</f>
        <v/>
      </c>
      <c r="K57" s="10">
        <f>IF($A57="","",COUNTIF('対応履歴'!$B$5:$B$304,$A57))</f>
        <v/>
      </c>
      <c r="L57" s="11">
        <f>IF($P57="","",IFERROR(INDEX('対応履歴'!$G$5:$G$304,MATCH($P57,'対応履歴'!$J$5:$J$304,0))&amp;"",""))</f>
        <v/>
      </c>
      <c r="M57" s="9">
        <f>IF($P57="","",IFERROR(IF(INDEX('対応履歴'!$H$5:$H$304,MATCH($P57,'対応履歴'!$J$5:$J$304,0))="","",INDEX('対応履歴'!$H$5:$H$304,MATCH($P57,'対応履歴'!$J$5:$J$304,0))),""))</f>
        <v/>
      </c>
      <c r="N57" s="10">
        <f>IF($A57="","",IF($K57=0,"対応履歴なし",IF($M57="",IF($L57="","次回予定なし","期日未定"),IF($M57&lt;'次回アクション'!$B$2,"期日超過 "&amp;('次回アクション'!$B$2-$M57)&amp;"日",IF($M57='次回アクション'!$B$2,"今日","あと"&amp;($M57-'次回アクション'!$B$2)&amp;"日")))))</f>
        <v/>
      </c>
      <c r="O57" s="12">
        <f>IF($P57="","",IF($M57&lt;&gt;"",$M57+ROW()/100000,IF($L57&lt;&gt;"",100000+ROW()/100000,"")))</f>
        <v/>
      </c>
      <c r="P57" s="12">
        <f>IF(OR($A57="",$K57=0),"",_xlfn.MAXIFS('対応履歴'!$J$5:$J$304,'対応履歴'!$B$5:$B$304,$A57))</f>
        <v/>
      </c>
    </row>
    <row r="58">
      <c r="A58" s="7" t="n"/>
      <c r="B58" s="7" t="n"/>
      <c r="C58" s="8" t="n"/>
      <c r="D58" s="8" t="n"/>
      <c r="E58" s="8" t="n"/>
      <c r="F58" s="8" t="n"/>
      <c r="G58" s="7" t="n"/>
      <c r="H58" s="7" t="n"/>
      <c r="I58" s="8" t="n"/>
      <c r="J58" s="9">
        <f>IF($A58="","",IF($K58=0,"",_xlfn.MAXIFS('対応履歴'!$A$5:$A$304,'対応履歴'!$B$5:$B$304,$A58)))</f>
        <v/>
      </c>
      <c r="K58" s="10">
        <f>IF($A58="","",COUNTIF('対応履歴'!$B$5:$B$304,$A58))</f>
        <v/>
      </c>
      <c r="L58" s="11">
        <f>IF($P58="","",IFERROR(INDEX('対応履歴'!$G$5:$G$304,MATCH($P58,'対応履歴'!$J$5:$J$304,0))&amp;"",""))</f>
        <v/>
      </c>
      <c r="M58" s="9">
        <f>IF($P58="","",IFERROR(IF(INDEX('対応履歴'!$H$5:$H$304,MATCH($P58,'対応履歴'!$J$5:$J$304,0))="","",INDEX('対応履歴'!$H$5:$H$304,MATCH($P58,'対応履歴'!$J$5:$J$304,0))),""))</f>
        <v/>
      </c>
      <c r="N58" s="10">
        <f>IF($A58="","",IF($K58=0,"対応履歴なし",IF($M58="",IF($L58="","次回予定なし","期日未定"),IF($M58&lt;'次回アクション'!$B$2,"期日超過 "&amp;('次回アクション'!$B$2-$M58)&amp;"日",IF($M58='次回アクション'!$B$2,"今日","あと"&amp;($M58-'次回アクション'!$B$2)&amp;"日")))))</f>
        <v/>
      </c>
      <c r="O58" s="12">
        <f>IF($P58="","",IF($M58&lt;&gt;"",$M58+ROW()/100000,IF($L58&lt;&gt;"",100000+ROW()/100000,"")))</f>
        <v/>
      </c>
      <c r="P58" s="12">
        <f>IF(OR($A58="",$K58=0),"",_xlfn.MAXIFS('対応履歴'!$J$5:$J$304,'対応履歴'!$B$5:$B$304,$A58))</f>
        <v/>
      </c>
    </row>
    <row r="59">
      <c r="A59" s="7" t="n"/>
      <c r="B59" s="7" t="n"/>
      <c r="C59" s="8" t="n"/>
      <c r="D59" s="8" t="n"/>
      <c r="E59" s="8" t="n"/>
      <c r="F59" s="8" t="n"/>
      <c r="G59" s="7" t="n"/>
      <c r="H59" s="7" t="n"/>
      <c r="I59" s="8" t="n"/>
      <c r="J59" s="9">
        <f>IF($A59="","",IF($K59=0,"",_xlfn.MAXIFS('対応履歴'!$A$5:$A$304,'対応履歴'!$B$5:$B$304,$A59)))</f>
        <v/>
      </c>
      <c r="K59" s="10">
        <f>IF($A59="","",COUNTIF('対応履歴'!$B$5:$B$304,$A59))</f>
        <v/>
      </c>
      <c r="L59" s="11">
        <f>IF($P59="","",IFERROR(INDEX('対応履歴'!$G$5:$G$304,MATCH($P59,'対応履歴'!$J$5:$J$304,0))&amp;"",""))</f>
        <v/>
      </c>
      <c r="M59" s="9">
        <f>IF($P59="","",IFERROR(IF(INDEX('対応履歴'!$H$5:$H$304,MATCH($P59,'対応履歴'!$J$5:$J$304,0))="","",INDEX('対応履歴'!$H$5:$H$304,MATCH($P59,'対応履歴'!$J$5:$J$304,0))),""))</f>
        <v/>
      </c>
      <c r="N59" s="10">
        <f>IF($A59="","",IF($K59=0,"対応履歴なし",IF($M59="",IF($L59="","次回予定なし","期日未定"),IF($M59&lt;'次回アクション'!$B$2,"期日超過 "&amp;('次回アクション'!$B$2-$M59)&amp;"日",IF($M59='次回アクション'!$B$2,"今日","あと"&amp;($M59-'次回アクション'!$B$2)&amp;"日")))))</f>
        <v/>
      </c>
      <c r="O59" s="12">
        <f>IF($P59="","",IF($M59&lt;&gt;"",$M59+ROW()/100000,IF($L59&lt;&gt;"",100000+ROW()/100000,"")))</f>
        <v/>
      </c>
      <c r="P59" s="12">
        <f>IF(OR($A59="",$K59=0),"",_xlfn.MAXIFS('対応履歴'!$J$5:$J$304,'対応履歴'!$B$5:$B$304,$A59))</f>
        <v/>
      </c>
    </row>
    <row r="60">
      <c r="A60" s="7" t="n"/>
      <c r="B60" s="7" t="n"/>
      <c r="C60" s="8" t="n"/>
      <c r="D60" s="8" t="n"/>
      <c r="E60" s="8" t="n"/>
      <c r="F60" s="8" t="n"/>
      <c r="G60" s="7" t="n"/>
      <c r="H60" s="7" t="n"/>
      <c r="I60" s="8" t="n"/>
      <c r="J60" s="9">
        <f>IF($A60="","",IF($K60=0,"",_xlfn.MAXIFS('対応履歴'!$A$5:$A$304,'対応履歴'!$B$5:$B$304,$A60)))</f>
        <v/>
      </c>
      <c r="K60" s="10">
        <f>IF($A60="","",COUNTIF('対応履歴'!$B$5:$B$304,$A60))</f>
        <v/>
      </c>
      <c r="L60" s="11">
        <f>IF($P60="","",IFERROR(INDEX('対応履歴'!$G$5:$G$304,MATCH($P60,'対応履歴'!$J$5:$J$304,0))&amp;"",""))</f>
        <v/>
      </c>
      <c r="M60" s="9">
        <f>IF($P60="","",IFERROR(IF(INDEX('対応履歴'!$H$5:$H$304,MATCH($P60,'対応履歴'!$J$5:$J$304,0))="","",INDEX('対応履歴'!$H$5:$H$304,MATCH($P60,'対応履歴'!$J$5:$J$304,0))),""))</f>
        <v/>
      </c>
      <c r="N60" s="10">
        <f>IF($A60="","",IF($K60=0,"対応履歴なし",IF($M60="",IF($L60="","次回予定なし","期日未定"),IF($M60&lt;'次回アクション'!$B$2,"期日超過 "&amp;('次回アクション'!$B$2-$M60)&amp;"日",IF($M60='次回アクション'!$B$2,"今日","あと"&amp;($M60-'次回アクション'!$B$2)&amp;"日")))))</f>
        <v/>
      </c>
      <c r="O60" s="12">
        <f>IF($P60="","",IF($M60&lt;&gt;"",$M60+ROW()/100000,IF($L60&lt;&gt;"",100000+ROW()/100000,"")))</f>
        <v/>
      </c>
      <c r="P60" s="12">
        <f>IF(OR($A60="",$K60=0),"",_xlfn.MAXIFS('対応履歴'!$J$5:$J$304,'対応履歴'!$B$5:$B$304,$A60))</f>
        <v/>
      </c>
    </row>
    <row r="61">
      <c r="A61" s="7" t="n"/>
      <c r="B61" s="7" t="n"/>
      <c r="C61" s="8" t="n"/>
      <c r="D61" s="8" t="n"/>
      <c r="E61" s="8" t="n"/>
      <c r="F61" s="8" t="n"/>
      <c r="G61" s="7" t="n"/>
      <c r="H61" s="7" t="n"/>
      <c r="I61" s="8" t="n"/>
      <c r="J61" s="9">
        <f>IF($A61="","",IF($K61=0,"",_xlfn.MAXIFS('対応履歴'!$A$5:$A$304,'対応履歴'!$B$5:$B$304,$A61)))</f>
        <v/>
      </c>
      <c r="K61" s="10">
        <f>IF($A61="","",COUNTIF('対応履歴'!$B$5:$B$304,$A61))</f>
        <v/>
      </c>
      <c r="L61" s="11">
        <f>IF($P61="","",IFERROR(INDEX('対応履歴'!$G$5:$G$304,MATCH($P61,'対応履歴'!$J$5:$J$304,0))&amp;"",""))</f>
        <v/>
      </c>
      <c r="M61" s="9">
        <f>IF($P61="","",IFERROR(IF(INDEX('対応履歴'!$H$5:$H$304,MATCH($P61,'対応履歴'!$J$5:$J$304,0))="","",INDEX('対応履歴'!$H$5:$H$304,MATCH($P61,'対応履歴'!$J$5:$J$304,0))),""))</f>
        <v/>
      </c>
      <c r="N61" s="10">
        <f>IF($A61="","",IF($K61=0,"対応履歴なし",IF($M61="",IF($L61="","次回予定なし","期日未定"),IF($M61&lt;'次回アクション'!$B$2,"期日超過 "&amp;('次回アクション'!$B$2-$M61)&amp;"日",IF($M61='次回アクション'!$B$2,"今日","あと"&amp;($M61-'次回アクション'!$B$2)&amp;"日")))))</f>
        <v/>
      </c>
      <c r="O61" s="12">
        <f>IF($P61="","",IF($M61&lt;&gt;"",$M61+ROW()/100000,IF($L61&lt;&gt;"",100000+ROW()/100000,"")))</f>
        <v/>
      </c>
      <c r="P61" s="12">
        <f>IF(OR($A61="",$K61=0),"",_xlfn.MAXIFS('対応履歴'!$J$5:$J$304,'対応履歴'!$B$5:$B$304,$A61))</f>
        <v/>
      </c>
    </row>
    <row r="62">
      <c r="A62" s="7" t="n"/>
      <c r="B62" s="7" t="n"/>
      <c r="C62" s="8" t="n"/>
      <c r="D62" s="8" t="n"/>
      <c r="E62" s="8" t="n"/>
      <c r="F62" s="8" t="n"/>
      <c r="G62" s="7" t="n"/>
      <c r="H62" s="7" t="n"/>
      <c r="I62" s="8" t="n"/>
      <c r="J62" s="9">
        <f>IF($A62="","",IF($K62=0,"",_xlfn.MAXIFS('対応履歴'!$A$5:$A$304,'対応履歴'!$B$5:$B$304,$A62)))</f>
        <v/>
      </c>
      <c r="K62" s="10">
        <f>IF($A62="","",COUNTIF('対応履歴'!$B$5:$B$304,$A62))</f>
        <v/>
      </c>
      <c r="L62" s="11">
        <f>IF($P62="","",IFERROR(INDEX('対応履歴'!$G$5:$G$304,MATCH($P62,'対応履歴'!$J$5:$J$304,0))&amp;"",""))</f>
        <v/>
      </c>
      <c r="M62" s="9">
        <f>IF($P62="","",IFERROR(IF(INDEX('対応履歴'!$H$5:$H$304,MATCH($P62,'対応履歴'!$J$5:$J$304,0))="","",INDEX('対応履歴'!$H$5:$H$304,MATCH($P62,'対応履歴'!$J$5:$J$304,0))),""))</f>
        <v/>
      </c>
      <c r="N62" s="10">
        <f>IF($A62="","",IF($K62=0,"対応履歴なし",IF($M62="",IF($L62="","次回予定なし","期日未定"),IF($M62&lt;'次回アクション'!$B$2,"期日超過 "&amp;('次回アクション'!$B$2-$M62)&amp;"日",IF($M62='次回アクション'!$B$2,"今日","あと"&amp;($M62-'次回アクション'!$B$2)&amp;"日")))))</f>
        <v/>
      </c>
      <c r="O62" s="12">
        <f>IF($P62="","",IF($M62&lt;&gt;"",$M62+ROW()/100000,IF($L62&lt;&gt;"",100000+ROW()/100000,"")))</f>
        <v/>
      </c>
      <c r="P62" s="12">
        <f>IF(OR($A62="",$K62=0),"",_xlfn.MAXIFS('対応履歴'!$J$5:$J$304,'対応履歴'!$B$5:$B$304,$A62))</f>
        <v/>
      </c>
    </row>
    <row r="63">
      <c r="A63" s="7" t="n"/>
      <c r="B63" s="7" t="n"/>
      <c r="C63" s="8" t="n"/>
      <c r="D63" s="8" t="n"/>
      <c r="E63" s="8" t="n"/>
      <c r="F63" s="8" t="n"/>
      <c r="G63" s="7" t="n"/>
      <c r="H63" s="7" t="n"/>
      <c r="I63" s="8" t="n"/>
      <c r="J63" s="9">
        <f>IF($A63="","",IF($K63=0,"",_xlfn.MAXIFS('対応履歴'!$A$5:$A$304,'対応履歴'!$B$5:$B$304,$A63)))</f>
        <v/>
      </c>
      <c r="K63" s="10">
        <f>IF($A63="","",COUNTIF('対応履歴'!$B$5:$B$304,$A63))</f>
        <v/>
      </c>
      <c r="L63" s="11">
        <f>IF($P63="","",IFERROR(INDEX('対応履歴'!$G$5:$G$304,MATCH($P63,'対応履歴'!$J$5:$J$304,0))&amp;"",""))</f>
        <v/>
      </c>
      <c r="M63" s="9">
        <f>IF($P63="","",IFERROR(IF(INDEX('対応履歴'!$H$5:$H$304,MATCH($P63,'対応履歴'!$J$5:$J$304,0))="","",INDEX('対応履歴'!$H$5:$H$304,MATCH($P63,'対応履歴'!$J$5:$J$304,0))),""))</f>
        <v/>
      </c>
      <c r="N63" s="10">
        <f>IF($A63="","",IF($K63=0,"対応履歴なし",IF($M63="",IF($L63="","次回予定なし","期日未定"),IF($M63&lt;'次回アクション'!$B$2,"期日超過 "&amp;('次回アクション'!$B$2-$M63)&amp;"日",IF($M63='次回アクション'!$B$2,"今日","あと"&amp;($M63-'次回アクション'!$B$2)&amp;"日")))))</f>
        <v/>
      </c>
      <c r="O63" s="12">
        <f>IF($P63="","",IF($M63&lt;&gt;"",$M63+ROW()/100000,IF($L63&lt;&gt;"",100000+ROW()/100000,"")))</f>
        <v/>
      </c>
      <c r="P63" s="12">
        <f>IF(OR($A63="",$K63=0),"",_xlfn.MAXIFS('対応履歴'!$J$5:$J$304,'対応履歴'!$B$5:$B$304,$A63))</f>
        <v/>
      </c>
    </row>
    <row r="64">
      <c r="A64" s="7" t="n"/>
      <c r="B64" s="7" t="n"/>
      <c r="C64" s="8" t="n"/>
      <c r="D64" s="8" t="n"/>
      <c r="E64" s="8" t="n"/>
      <c r="F64" s="8" t="n"/>
      <c r="G64" s="7" t="n"/>
      <c r="H64" s="7" t="n"/>
      <c r="I64" s="8" t="n"/>
      <c r="J64" s="9">
        <f>IF($A64="","",IF($K64=0,"",_xlfn.MAXIFS('対応履歴'!$A$5:$A$304,'対応履歴'!$B$5:$B$304,$A64)))</f>
        <v/>
      </c>
      <c r="K64" s="10">
        <f>IF($A64="","",COUNTIF('対応履歴'!$B$5:$B$304,$A64))</f>
        <v/>
      </c>
      <c r="L64" s="11">
        <f>IF($P64="","",IFERROR(INDEX('対応履歴'!$G$5:$G$304,MATCH($P64,'対応履歴'!$J$5:$J$304,0))&amp;"",""))</f>
        <v/>
      </c>
      <c r="M64" s="9">
        <f>IF($P64="","",IFERROR(IF(INDEX('対応履歴'!$H$5:$H$304,MATCH($P64,'対応履歴'!$J$5:$J$304,0))="","",INDEX('対応履歴'!$H$5:$H$304,MATCH($P64,'対応履歴'!$J$5:$J$304,0))),""))</f>
        <v/>
      </c>
      <c r="N64" s="10">
        <f>IF($A64="","",IF($K64=0,"対応履歴なし",IF($M64="",IF($L64="","次回予定なし","期日未定"),IF($M64&lt;'次回アクション'!$B$2,"期日超過 "&amp;('次回アクション'!$B$2-$M64)&amp;"日",IF($M64='次回アクション'!$B$2,"今日","あと"&amp;($M64-'次回アクション'!$B$2)&amp;"日")))))</f>
        <v/>
      </c>
      <c r="O64" s="12">
        <f>IF($P64="","",IF($M64&lt;&gt;"",$M64+ROW()/100000,IF($L64&lt;&gt;"",100000+ROW()/100000,"")))</f>
        <v/>
      </c>
      <c r="P64" s="12">
        <f>IF(OR($A64="",$K64=0),"",_xlfn.MAXIFS('対応履歴'!$J$5:$J$304,'対応履歴'!$B$5:$B$304,$A64))</f>
        <v/>
      </c>
    </row>
    <row r="65">
      <c r="A65" s="7" t="n"/>
      <c r="B65" s="7" t="n"/>
      <c r="C65" s="8" t="n"/>
      <c r="D65" s="8" t="n"/>
      <c r="E65" s="8" t="n"/>
      <c r="F65" s="8" t="n"/>
      <c r="G65" s="7" t="n"/>
      <c r="H65" s="7" t="n"/>
      <c r="I65" s="8" t="n"/>
      <c r="J65" s="9">
        <f>IF($A65="","",IF($K65=0,"",_xlfn.MAXIFS('対応履歴'!$A$5:$A$304,'対応履歴'!$B$5:$B$304,$A65)))</f>
        <v/>
      </c>
      <c r="K65" s="10">
        <f>IF($A65="","",COUNTIF('対応履歴'!$B$5:$B$304,$A65))</f>
        <v/>
      </c>
      <c r="L65" s="11">
        <f>IF($P65="","",IFERROR(INDEX('対応履歴'!$G$5:$G$304,MATCH($P65,'対応履歴'!$J$5:$J$304,0))&amp;"",""))</f>
        <v/>
      </c>
      <c r="M65" s="9">
        <f>IF($P65="","",IFERROR(IF(INDEX('対応履歴'!$H$5:$H$304,MATCH($P65,'対応履歴'!$J$5:$J$304,0))="","",INDEX('対応履歴'!$H$5:$H$304,MATCH($P65,'対応履歴'!$J$5:$J$304,0))),""))</f>
        <v/>
      </c>
      <c r="N65" s="10">
        <f>IF($A65="","",IF($K65=0,"対応履歴なし",IF($M65="",IF($L65="","次回予定なし","期日未定"),IF($M65&lt;'次回アクション'!$B$2,"期日超過 "&amp;('次回アクション'!$B$2-$M65)&amp;"日",IF($M65='次回アクション'!$B$2,"今日","あと"&amp;($M65-'次回アクション'!$B$2)&amp;"日")))))</f>
        <v/>
      </c>
      <c r="O65" s="12">
        <f>IF($P65="","",IF($M65&lt;&gt;"",$M65+ROW()/100000,IF($L65&lt;&gt;"",100000+ROW()/100000,"")))</f>
        <v/>
      </c>
      <c r="P65" s="12">
        <f>IF(OR($A65="",$K65=0),"",_xlfn.MAXIFS('対応履歴'!$J$5:$J$304,'対応履歴'!$B$5:$B$304,$A65))</f>
        <v/>
      </c>
    </row>
    <row r="66">
      <c r="A66" s="7" t="n"/>
      <c r="B66" s="7" t="n"/>
      <c r="C66" s="8" t="n"/>
      <c r="D66" s="8" t="n"/>
      <c r="E66" s="8" t="n"/>
      <c r="F66" s="8" t="n"/>
      <c r="G66" s="7" t="n"/>
      <c r="H66" s="7" t="n"/>
      <c r="I66" s="8" t="n"/>
      <c r="J66" s="9">
        <f>IF($A66="","",IF($K66=0,"",_xlfn.MAXIFS('対応履歴'!$A$5:$A$304,'対応履歴'!$B$5:$B$304,$A66)))</f>
        <v/>
      </c>
      <c r="K66" s="10">
        <f>IF($A66="","",COUNTIF('対応履歴'!$B$5:$B$304,$A66))</f>
        <v/>
      </c>
      <c r="L66" s="11">
        <f>IF($P66="","",IFERROR(INDEX('対応履歴'!$G$5:$G$304,MATCH($P66,'対応履歴'!$J$5:$J$304,0))&amp;"",""))</f>
        <v/>
      </c>
      <c r="M66" s="9">
        <f>IF($P66="","",IFERROR(IF(INDEX('対応履歴'!$H$5:$H$304,MATCH($P66,'対応履歴'!$J$5:$J$304,0))="","",INDEX('対応履歴'!$H$5:$H$304,MATCH($P66,'対応履歴'!$J$5:$J$304,0))),""))</f>
        <v/>
      </c>
      <c r="N66" s="10">
        <f>IF($A66="","",IF($K66=0,"対応履歴なし",IF($M66="",IF($L66="","次回予定なし","期日未定"),IF($M66&lt;'次回アクション'!$B$2,"期日超過 "&amp;('次回アクション'!$B$2-$M66)&amp;"日",IF($M66='次回アクション'!$B$2,"今日","あと"&amp;($M66-'次回アクション'!$B$2)&amp;"日")))))</f>
        <v/>
      </c>
      <c r="O66" s="12">
        <f>IF($P66="","",IF($M66&lt;&gt;"",$M66+ROW()/100000,IF($L66&lt;&gt;"",100000+ROW()/100000,"")))</f>
        <v/>
      </c>
      <c r="P66" s="12">
        <f>IF(OR($A66="",$K66=0),"",_xlfn.MAXIFS('対応履歴'!$J$5:$J$304,'対応履歴'!$B$5:$B$304,$A66))</f>
        <v/>
      </c>
    </row>
    <row r="67">
      <c r="A67" s="7" t="n"/>
      <c r="B67" s="7" t="n"/>
      <c r="C67" s="8" t="n"/>
      <c r="D67" s="8" t="n"/>
      <c r="E67" s="8" t="n"/>
      <c r="F67" s="8" t="n"/>
      <c r="G67" s="7" t="n"/>
      <c r="H67" s="7" t="n"/>
      <c r="I67" s="8" t="n"/>
      <c r="J67" s="9">
        <f>IF($A67="","",IF($K67=0,"",_xlfn.MAXIFS('対応履歴'!$A$5:$A$304,'対応履歴'!$B$5:$B$304,$A67)))</f>
        <v/>
      </c>
      <c r="K67" s="10">
        <f>IF($A67="","",COUNTIF('対応履歴'!$B$5:$B$304,$A67))</f>
        <v/>
      </c>
      <c r="L67" s="11">
        <f>IF($P67="","",IFERROR(INDEX('対応履歴'!$G$5:$G$304,MATCH($P67,'対応履歴'!$J$5:$J$304,0))&amp;"",""))</f>
        <v/>
      </c>
      <c r="M67" s="9">
        <f>IF($P67="","",IFERROR(IF(INDEX('対応履歴'!$H$5:$H$304,MATCH($P67,'対応履歴'!$J$5:$J$304,0))="","",INDEX('対応履歴'!$H$5:$H$304,MATCH($P67,'対応履歴'!$J$5:$J$304,0))),""))</f>
        <v/>
      </c>
      <c r="N67" s="10">
        <f>IF($A67="","",IF($K67=0,"対応履歴なし",IF($M67="",IF($L67="","次回予定なし","期日未定"),IF($M67&lt;'次回アクション'!$B$2,"期日超過 "&amp;('次回アクション'!$B$2-$M67)&amp;"日",IF($M67='次回アクション'!$B$2,"今日","あと"&amp;($M67-'次回アクション'!$B$2)&amp;"日")))))</f>
        <v/>
      </c>
      <c r="O67" s="12">
        <f>IF($P67="","",IF($M67&lt;&gt;"",$M67+ROW()/100000,IF($L67&lt;&gt;"",100000+ROW()/100000,"")))</f>
        <v/>
      </c>
      <c r="P67" s="12">
        <f>IF(OR($A67="",$K67=0),"",_xlfn.MAXIFS('対応履歴'!$J$5:$J$304,'対応履歴'!$B$5:$B$304,$A67))</f>
        <v/>
      </c>
    </row>
    <row r="68">
      <c r="A68" s="7" t="n"/>
      <c r="B68" s="7" t="n"/>
      <c r="C68" s="8" t="n"/>
      <c r="D68" s="8" t="n"/>
      <c r="E68" s="8" t="n"/>
      <c r="F68" s="8" t="n"/>
      <c r="G68" s="7" t="n"/>
      <c r="H68" s="7" t="n"/>
      <c r="I68" s="8" t="n"/>
      <c r="J68" s="9">
        <f>IF($A68="","",IF($K68=0,"",_xlfn.MAXIFS('対応履歴'!$A$5:$A$304,'対応履歴'!$B$5:$B$304,$A68)))</f>
        <v/>
      </c>
      <c r="K68" s="10">
        <f>IF($A68="","",COUNTIF('対応履歴'!$B$5:$B$304,$A68))</f>
        <v/>
      </c>
      <c r="L68" s="11">
        <f>IF($P68="","",IFERROR(INDEX('対応履歴'!$G$5:$G$304,MATCH($P68,'対応履歴'!$J$5:$J$304,0))&amp;"",""))</f>
        <v/>
      </c>
      <c r="M68" s="9">
        <f>IF($P68="","",IFERROR(IF(INDEX('対応履歴'!$H$5:$H$304,MATCH($P68,'対応履歴'!$J$5:$J$304,0))="","",INDEX('対応履歴'!$H$5:$H$304,MATCH($P68,'対応履歴'!$J$5:$J$304,0))),""))</f>
        <v/>
      </c>
      <c r="N68" s="10">
        <f>IF($A68="","",IF($K68=0,"対応履歴なし",IF($M68="",IF($L68="","次回予定なし","期日未定"),IF($M68&lt;'次回アクション'!$B$2,"期日超過 "&amp;('次回アクション'!$B$2-$M68)&amp;"日",IF($M68='次回アクション'!$B$2,"今日","あと"&amp;($M68-'次回アクション'!$B$2)&amp;"日")))))</f>
        <v/>
      </c>
      <c r="O68" s="12">
        <f>IF($P68="","",IF($M68&lt;&gt;"",$M68+ROW()/100000,IF($L68&lt;&gt;"",100000+ROW()/100000,"")))</f>
        <v/>
      </c>
      <c r="P68" s="12">
        <f>IF(OR($A68="",$K68=0),"",_xlfn.MAXIFS('対応履歴'!$J$5:$J$304,'対応履歴'!$B$5:$B$304,$A68))</f>
        <v/>
      </c>
    </row>
    <row r="69">
      <c r="A69" s="7" t="n"/>
      <c r="B69" s="7" t="n"/>
      <c r="C69" s="8" t="n"/>
      <c r="D69" s="8" t="n"/>
      <c r="E69" s="8" t="n"/>
      <c r="F69" s="8" t="n"/>
      <c r="G69" s="7" t="n"/>
      <c r="H69" s="7" t="n"/>
      <c r="I69" s="8" t="n"/>
      <c r="J69" s="9">
        <f>IF($A69="","",IF($K69=0,"",_xlfn.MAXIFS('対応履歴'!$A$5:$A$304,'対応履歴'!$B$5:$B$304,$A69)))</f>
        <v/>
      </c>
      <c r="K69" s="10">
        <f>IF($A69="","",COUNTIF('対応履歴'!$B$5:$B$304,$A69))</f>
        <v/>
      </c>
      <c r="L69" s="11">
        <f>IF($P69="","",IFERROR(INDEX('対応履歴'!$G$5:$G$304,MATCH($P69,'対応履歴'!$J$5:$J$304,0))&amp;"",""))</f>
        <v/>
      </c>
      <c r="M69" s="9">
        <f>IF($P69="","",IFERROR(IF(INDEX('対応履歴'!$H$5:$H$304,MATCH($P69,'対応履歴'!$J$5:$J$304,0))="","",INDEX('対応履歴'!$H$5:$H$304,MATCH($P69,'対応履歴'!$J$5:$J$304,0))),""))</f>
        <v/>
      </c>
      <c r="N69" s="10">
        <f>IF($A69="","",IF($K69=0,"対応履歴なし",IF($M69="",IF($L69="","次回予定なし","期日未定"),IF($M69&lt;'次回アクション'!$B$2,"期日超過 "&amp;('次回アクション'!$B$2-$M69)&amp;"日",IF($M69='次回アクション'!$B$2,"今日","あと"&amp;($M69-'次回アクション'!$B$2)&amp;"日")))))</f>
        <v/>
      </c>
      <c r="O69" s="12">
        <f>IF($P69="","",IF($M69&lt;&gt;"",$M69+ROW()/100000,IF($L69&lt;&gt;"",100000+ROW()/100000,"")))</f>
        <v/>
      </c>
      <c r="P69" s="12">
        <f>IF(OR($A69="",$K69=0),"",_xlfn.MAXIFS('対応履歴'!$J$5:$J$304,'対応履歴'!$B$5:$B$304,$A69))</f>
        <v/>
      </c>
    </row>
    <row r="70">
      <c r="A70" s="7" t="n"/>
      <c r="B70" s="7" t="n"/>
      <c r="C70" s="8" t="n"/>
      <c r="D70" s="8" t="n"/>
      <c r="E70" s="8" t="n"/>
      <c r="F70" s="8" t="n"/>
      <c r="G70" s="7" t="n"/>
      <c r="H70" s="7" t="n"/>
      <c r="I70" s="8" t="n"/>
      <c r="J70" s="9">
        <f>IF($A70="","",IF($K70=0,"",_xlfn.MAXIFS('対応履歴'!$A$5:$A$304,'対応履歴'!$B$5:$B$304,$A70)))</f>
        <v/>
      </c>
      <c r="K70" s="10">
        <f>IF($A70="","",COUNTIF('対応履歴'!$B$5:$B$304,$A70))</f>
        <v/>
      </c>
      <c r="L70" s="11">
        <f>IF($P70="","",IFERROR(INDEX('対応履歴'!$G$5:$G$304,MATCH($P70,'対応履歴'!$J$5:$J$304,0))&amp;"",""))</f>
        <v/>
      </c>
      <c r="M70" s="9">
        <f>IF($P70="","",IFERROR(IF(INDEX('対応履歴'!$H$5:$H$304,MATCH($P70,'対応履歴'!$J$5:$J$304,0))="","",INDEX('対応履歴'!$H$5:$H$304,MATCH($P70,'対応履歴'!$J$5:$J$304,0))),""))</f>
        <v/>
      </c>
      <c r="N70" s="10">
        <f>IF($A70="","",IF($K70=0,"対応履歴なし",IF($M70="",IF($L70="","次回予定なし","期日未定"),IF($M70&lt;'次回アクション'!$B$2,"期日超過 "&amp;('次回アクション'!$B$2-$M70)&amp;"日",IF($M70='次回アクション'!$B$2,"今日","あと"&amp;($M70-'次回アクション'!$B$2)&amp;"日")))))</f>
        <v/>
      </c>
      <c r="O70" s="12">
        <f>IF($P70="","",IF($M70&lt;&gt;"",$M70+ROW()/100000,IF($L70&lt;&gt;"",100000+ROW()/100000,"")))</f>
        <v/>
      </c>
      <c r="P70" s="12">
        <f>IF(OR($A70="",$K70=0),"",_xlfn.MAXIFS('対応履歴'!$J$5:$J$304,'対応履歴'!$B$5:$B$304,$A70))</f>
        <v/>
      </c>
    </row>
    <row r="71">
      <c r="A71" s="7" t="n"/>
      <c r="B71" s="7" t="n"/>
      <c r="C71" s="8" t="n"/>
      <c r="D71" s="8" t="n"/>
      <c r="E71" s="8" t="n"/>
      <c r="F71" s="8" t="n"/>
      <c r="G71" s="7" t="n"/>
      <c r="H71" s="7" t="n"/>
      <c r="I71" s="8" t="n"/>
      <c r="J71" s="9">
        <f>IF($A71="","",IF($K71=0,"",_xlfn.MAXIFS('対応履歴'!$A$5:$A$304,'対応履歴'!$B$5:$B$304,$A71)))</f>
        <v/>
      </c>
      <c r="K71" s="10">
        <f>IF($A71="","",COUNTIF('対応履歴'!$B$5:$B$304,$A71))</f>
        <v/>
      </c>
      <c r="L71" s="11">
        <f>IF($P71="","",IFERROR(INDEX('対応履歴'!$G$5:$G$304,MATCH($P71,'対応履歴'!$J$5:$J$304,0))&amp;"",""))</f>
        <v/>
      </c>
      <c r="M71" s="9">
        <f>IF($P71="","",IFERROR(IF(INDEX('対応履歴'!$H$5:$H$304,MATCH($P71,'対応履歴'!$J$5:$J$304,0))="","",INDEX('対応履歴'!$H$5:$H$304,MATCH($P71,'対応履歴'!$J$5:$J$304,0))),""))</f>
        <v/>
      </c>
      <c r="N71" s="10">
        <f>IF($A71="","",IF($K71=0,"対応履歴なし",IF($M71="",IF($L71="","次回予定なし","期日未定"),IF($M71&lt;'次回アクション'!$B$2,"期日超過 "&amp;('次回アクション'!$B$2-$M71)&amp;"日",IF($M71='次回アクション'!$B$2,"今日","あと"&amp;($M71-'次回アクション'!$B$2)&amp;"日")))))</f>
        <v/>
      </c>
      <c r="O71" s="12">
        <f>IF($P71="","",IF($M71&lt;&gt;"",$M71+ROW()/100000,IF($L71&lt;&gt;"",100000+ROW()/100000,"")))</f>
        <v/>
      </c>
      <c r="P71" s="12">
        <f>IF(OR($A71="",$K71=0),"",_xlfn.MAXIFS('対応履歴'!$J$5:$J$304,'対応履歴'!$B$5:$B$304,$A71))</f>
        <v/>
      </c>
    </row>
    <row r="72">
      <c r="A72" s="7" t="n"/>
      <c r="B72" s="7" t="n"/>
      <c r="C72" s="8" t="n"/>
      <c r="D72" s="8" t="n"/>
      <c r="E72" s="8" t="n"/>
      <c r="F72" s="8" t="n"/>
      <c r="G72" s="7" t="n"/>
      <c r="H72" s="7" t="n"/>
      <c r="I72" s="8" t="n"/>
      <c r="J72" s="9">
        <f>IF($A72="","",IF($K72=0,"",_xlfn.MAXIFS('対応履歴'!$A$5:$A$304,'対応履歴'!$B$5:$B$304,$A72)))</f>
        <v/>
      </c>
      <c r="K72" s="10">
        <f>IF($A72="","",COUNTIF('対応履歴'!$B$5:$B$304,$A72))</f>
        <v/>
      </c>
      <c r="L72" s="11">
        <f>IF($P72="","",IFERROR(INDEX('対応履歴'!$G$5:$G$304,MATCH($P72,'対応履歴'!$J$5:$J$304,0))&amp;"",""))</f>
        <v/>
      </c>
      <c r="M72" s="9">
        <f>IF($P72="","",IFERROR(IF(INDEX('対応履歴'!$H$5:$H$304,MATCH($P72,'対応履歴'!$J$5:$J$304,0))="","",INDEX('対応履歴'!$H$5:$H$304,MATCH($P72,'対応履歴'!$J$5:$J$304,0))),""))</f>
        <v/>
      </c>
      <c r="N72" s="10">
        <f>IF($A72="","",IF($K72=0,"対応履歴なし",IF($M72="",IF($L72="","次回予定なし","期日未定"),IF($M72&lt;'次回アクション'!$B$2,"期日超過 "&amp;('次回アクション'!$B$2-$M72)&amp;"日",IF($M72='次回アクション'!$B$2,"今日","あと"&amp;($M72-'次回アクション'!$B$2)&amp;"日")))))</f>
        <v/>
      </c>
      <c r="O72" s="12">
        <f>IF($P72="","",IF($M72&lt;&gt;"",$M72+ROW()/100000,IF($L72&lt;&gt;"",100000+ROW()/100000,"")))</f>
        <v/>
      </c>
      <c r="P72" s="12">
        <f>IF(OR($A72="",$K72=0),"",_xlfn.MAXIFS('対応履歴'!$J$5:$J$304,'対応履歴'!$B$5:$B$304,$A72))</f>
        <v/>
      </c>
    </row>
    <row r="73">
      <c r="A73" s="7" t="n"/>
      <c r="B73" s="7" t="n"/>
      <c r="C73" s="8" t="n"/>
      <c r="D73" s="8" t="n"/>
      <c r="E73" s="8" t="n"/>
      <c r="F73" s="8" t="n"/>
      <c r="G73" s="7" t="n"/>
      <c r="H73" s="7" t="n"/>
      <c r="I73" s="8" t="n"/>
      <c r="J73" s="9">
        <f>IF($A73="","",IF($K73=0,"",_xlfn.MAXIFS('対応履歴'!$A$5:$A$304,'対応履歴'!$B$5:$B$304,$A73)))</f>
        <v/>
      </c>
      <c r="K73" s="10">
        <f>IF($A73="","",COUNTIF('対応履歴'!$B$5:$B$304,$A73))</f>
        <v/>
      </c>
      <c r="L73" s="11">
        <f>IF($P73="","",IFERROR(INDEX('対応履歴'!$G$5:$G$304,MATCH($P73,'対応履歴'!$J$5:$J$304,0))&amp;"",""))</f>
        <v/>
      </c>
      <c r="M73" s="9">
        <f>IF($P73="","",IFERROR(IF(INDEX('対応履歴'!$H$5:$H$304,MATCH($P73,'対応履歴'!$J$5:$J$304,0))="","",INDEX('対応履歴'!$H$5:$H$304,MATCH($P73,'対応履歴'!$J$5:$J$304,0))),""))</f>
        <v/>
      </c>
      <c r="N73" s="10">
        <f>IF($A73="","",IF($K73=0,"対応履歴なし",IF($M73="",IF($L73="","次回予定なし","期日未定"),IF($M73&lt;'次回アクション'!$B$2,"期日超過 "&amp;('次回アクション'!$B$2-$M73)&amp;"日",IF($M73='次回アクション'!$B$2,"今日","あと"&amp;($M73-'次回アクション'!$B$2)&amp;"日")))))</f>
        <v/>
      </c>
      <c r="O73" s="12">
        <f>IF($P73="","",IF($M73&lt;&gt;"",$M73+ROW()/100000,IF($L73&lt;&gt;"",100000+ROW()/100000,"")))</f>
        <v/>
      </c>
      <c r="P73" s="12">
        <f>IF(OR($A73="",$K73=0),"",_xlfn.MAXIFS('対応履歴'!$J$5:$J$304,'対応履歴'!$B$5:$B$304,$A73))</f>
        <v/>
      </c>
    </row>
    <row r="74">
      <c r="A74" s="7" t="n"/>
      <c r="B74" s="7" t="n"/>
      <c r="C74" s="8" t="n"/>
      <c r="D74" s="8" t="n"/>
      <c r="E74" s="8" t="n"/>
      <c r="F74" s="8" t="n"/>
      <c r="G74" s="7" t="n"/>
      <c r="H74" s="7" t="n"/>
      <c r="I74" s="8" t="n"/>
      <c r="J74" s="9">
        <f>IF($A74="","",IF($K74=0,"",_xlfn.MAXIFS('対応履歴'!$A$5:$A$304,'対応履歴'!$B$5:$B$304,$A74)))</f>
        <v/>
      </c>
      <c r="K74" s="10">
        <f>IF($A74="","",COUNTIF('対応履歴'!$B$5:$B$304,$A74))</f>
        <v/>
      </c>
      <c r="L74" s="11">
        <f>IF($P74="","",IFERROR(INDEX('対応履歴'!$G$5:$G$304,MATCH($P74,'対応履歴'!$J$5:$J$304,0))&amp;"",""))</f>
        <v/>
      </c>
      <c r="M74" s="9">
        <f>IF($P74="","",IFERROR(IF(INDEX('対応履歴'!$H$5:$H$304,MATCH($P74,'対応履歴'!$J$5:$J$304,0))="","",INDEX('対応履歴'!$H$5:$H$304,MATCH($P74,'対応履歴'!$J$5:$J$304,0))),""))</f>
        <v/>
      </c>
      <c r="N74" s="10">
        <f>IF($A74="","",IF($K74=0,"対応履歴なし",IF($M74="",IF($L74="","次回予定なし","期日未定"),IF($M74&lt;'次回アクション'!$B$2,"期日超過 "&amp;('次回アクション'!$B$2-$M74)&amp;"日",IF($M74='次回アクション'!$B$2,"今日","あと"&amp;($M74-'次回アクション'!$B$2)&amp;"日")))))</f>
        <v/>
      </c>
      <c r="O74" s="12">
        <f>IF($P74="","",IF($M74&lt;&gt;"",$M74+ROW()/100000,IF($L74&lt;&gt;"",100000+ROW()/100000,"")))</f>
        <v/>
      </c>
      <c r="P74" s="12">
        <f>IF(OR($A74="",$K74=0),"",_xlfn.MAXIFS('対応履歴'!$J$5:$J$304,'対応履歴'!$B$5:$B$304,$A74))</f>
        <v/>
      </c>
    </row>
    <row r="75">
      <c r="A75" s="7" t="n"/>
      <c r="B75" s="7" t="n"/>
      <c r="C75" s="8" t="n"/>
      <c r="D75" s="8" t="n"/>
      <c r="E75" s="8" t="n"/>
      <c r="F75" s="8" t="n"/>
      <c r="G75" s="7" t="n"/>
      <c r="H75" s="7" t="n"/>
      <c r="I75" s="8" t="n"/>
      <c r="J75" s="9">
        <f>IF($A75="","",IF($K75=0,"",_xlfn.MAXIFS('対応履歴'!$A$5:$A$304,'対応履歴'!$B$5:$B$304,$A75)))</f>
        <v/>
      </c>
      <c r="K75" s="10">
        <f>IF($A75="","",COUNTIF('対応履歴'!$B$5:$B$304,$A75))</f>
        <v/>
      </c>
      <c r="L75" s="11">
        <f>IF($P75="","",IFERROR(INDEX('対応履歴'!$G$5:$G$304,MATCH($P75,'対応履歴'!$J$5:$J$304,0))&amp;"",""))</f>
        <v/>
      </c>
      <c r="M75" s="9">
        <f>IF($P75="","",IFERROR(IF(INDEX('対応履歴'!$H$5:$H$304,MATCH($P75,'対応履歴'!$J$5:$J$304,0))="","",INDEX('対応履歴'!$H$5:$H$304,MATCH($P75,'対応履歴'!$J$5:$J$304,0))),""))</f>
        <v/>
      </c>
      <c r="N75" s="10">
        <f>IF($A75="","",IF($K75=0,"対応履歴なし",IF($M75="",IF($L75="","次回予定なし","期日未定"),IF($M75&lt;'次回アクション'!$B$2,"期日超過 "&amp;('次回アクション'!$B$2-$M75)&amp;"日",IF($M75='次回アクション'!$B$2,"今日","あと"&amp;($M75-'次回アクション'!$B$2)&amp;"日")))))</f>
        <v/>
      </c>
      <c r="O75" s="12">
        <f>IF($P75="","",IF($M75&lt;&gt;"",$M75+ROW()/100000,IF($L75&lt;&gt;"",100000+ROW()/100000,"")))</f>
        <v/>
      </c>
      <c r="P75" s="12">
        <f>IF(OR($A75="",$K75=0),"",_xlfn.MAXIFS('対応履歴'!$J$5:$J$304,'対応履歴'!$B$5:$B$304,$A75))</f>
        <v/>
      </c>
    </row>
    <row r="76">
      <c r="A76" s="7" t="n"/>
      <c r="B76" s="7" t="n"/>
      <c r="C76" s="8" t="n"/>
      <c r="D76" s="8" t="n"/>
      <c r="E76" s="8" t="n"/>
      <c r="F76" s="8" t="n"/>
      <c r="G76" s="7" t="n"/>
      <c r="H76" s="7" t="n"/>
      <c r="I76" s="8" t="n"/>
      <c r="J76" s="9">
        <f>IF($A76="","",IF($K76=0,"",_xlfn.MAXIFS('対応履歴'!$A$5:$A$304,'対応履歴'!$B$5:$B$304,$A76)))</f>
        <v/>
      </c>
      <c r="K76" s="10">
        <f>IF($A76="","",COUNTIF('対応履歴'!$B$5:$B$304,$A76))</f>
        <v/>
      </c>
      <c r="L76" s="11">
        <f>IF($P76="","",IFERROR(INDEX('対応履歴'!$G$5:$G$304,MATCH($P76,'対応履歴'!$J$5:$J$304,0))&amp;"",""))</f>
        <v/>
      </c>
      <c r="M76" s="9">
        <f>IF($P76="","",IFERROR(IF(INDEX('対応履歴'!$H$5:$H$304,MATCH($P76,'対応履歴'!$J$5:$J$304,0))="","",INDEX('対応履歴'!$H$5:$H$304,MATCH($P76,'対応履歴'!$J$5:$J$304,0))),""))</f>
        <v/>
      </c>
      <c r="N76" s="10">
        <f>IF($A76="","",IF($K76=0,"対応履歴なし",IF($M76="",IF($L76="","次回予定なし","期日未定"),IF($M76&lt;'次回アクション'!$B$2,"期日超過 "&amp;('次回アクション'!$B$2-$M76)&amp;"日",IF($M76='次回アクション'!$B$2,"今日","あと"&amp;($M76-'次回アクション'!$B$2)&amp;"日")))))</f>
        <v/>
      </c>
      <c r="O76" s="12">
        <f>IF($P76="","",IF($M76&lt;&gt;"",$M76+ROW()/100000,IF($L76&lt;&gt;"",100000+ROW()/100000,"")))</f>
        <v/>
      </c>
      <c r="P76" s="12">
        <f>IF(OR($A76="",$K76=0),"",_xlfn.MAXIFS('対応履歴'!$J$5:$J$304,'対応履歴'!$B$5:$B$304,$A76))</f>
        <v/>
      </c>
    </row>
    <row r="77">
      <c r="A77" s="7" t="n"/>
      <c r="B77" s="7" t="n"/>
      <c r="C77" s="8" t="n"/>
      <c r="D77" s="8" t="n"/>
      <c r="E77" s="8" t="n"/>
      <c r="F77" s="8" t="n"/>
      <c r="G77" s="7" t="n"/>
      <c r="H77" s="7" t="n"/>
      <c r="I77" s="8" t="n"/>
      <c r="J77" s="9">
        <f>IF($A77="","",IF($K77=0,"",_xlfn.MAXIFS('対応履歴'!$A$5:$A$304,'対応履歴'!$B$5:$B$304,$A77)))</f>
        <v/>
      </c>
      <c r="K77" s="10">
        <f>IF($A77="","",COUNTIF('対応履歴'!$B$5:$B$304,$A77))</f>
        <v/>
      </c>
      <c r="L77" s="11">
        <f>IF($P77="","",IFERROR(INDEX('対応履歴'!$G$5:$G$304,MATCH($P77,'対応履歴'!$J$5:$J$304,0))&amp;"",""))</f>
        <v/>
      </c>
      <c r="M77" s="9">
        <f>IF($P77="","",IFERROR(IF(INDEX('対応履歴'!$H$5:$H$304,MATCH($P77,'対応履歴'!$J$5:$J$304,0))="","",INDEX('対応履歴'!$H$5:$H$304,MATCH($P77,'対応履歴'!$J$5:$J$304,0))),""))</f>
        <v/>
      </c>
      <c r="N77" s="10">
        <f>IF($A77="","",IF($K77=0,"対応履歴なし",IF($M77="",IF($L77="","次回予定なし","期日未定"),IF($M77&lt;'次回アクション'!$B$2,"期日超過 "&amp;('次回アクション'!$B$2-$M77)&amp;"日",IF($M77='次回アクション'!$B$2,"今日","あと"&amp;($M77-'次回アクション'!$B$2)&amp;"日")))))</f>
        <v/>
      </c>
      <c r="O77" s="12">
        <f>IF($P77="","",IF($M77&lt;&gt;"",$M77+ROW()/100000,IF($L77&lt;&gt;"",100000+ROW()/100000,"")))</f>
        <v/>
      </c>
      <c r="P77" s="12">
        <f>IF(OR($A77="",$K77=0),"",_xlfn.MAXIFS('対応履歴'!$J$5:$J$304,'対応履歴'!$B$5:$B$304,$A77))</f>
        <v/>
      </c>
    </row>
    <row r="78">
      <c r="A78" s="7" t="n"/>
      <c r="B78" s="7" t="n"/>
      <c r="C78" s="8" t="n"/>
      <c r="D78" s="8" t="n"/>
      <c r="E78" s="8" t="n"/>
      <c r="F78" s="8" t="n"/>
      <c r="G78" s="7" t="n"/>
      <c r="H78" s="7" t="n"/>
      <c r="I78" s="8" t="n"/>
      <c r="J78" s="9">
        <f>IF($A78="","",IF($K78=0,"",_xlfn.MAXIFS('対応履歴'!$A$5:$A$304,'対応履歴'!$B$5:$B$304,$A78)))</f>
        <v/>
      </c>
      <c r="K78" s="10">
        <f>IF($A78="","",COUNTIF('対応履歴'!$B$5:$B$304,$A78))</f>
        <v/>
      </c>
      <c r="L78" s="11">
        <f>IF($P78="","",IFERROR(INDEX('対応履歴'!$G$5:$G$304,MATCH($P78,'対応履歴'!$J$5:$J$304,0))&amp;"",""))</f>
        <v/>
      </c>
      <c r="M78" s="9">
        <f>IF($P78="","",IFERROR(IF(INDEX('対応履歴'!$H$5:$H$304,MATCH($P78,'対応履歴'!$J$5:$J$304,0))="","",INDEX('対応履歴'!$H$5:$H$304,MATCH($P78,'対応履歴'!$J$5:$J$304,0))),""))</f>
        <v/>
      </c>
      <c r="N78" s="10">
        <f>IF($A78="","",IF($K78=0,"対応履歴なし",IF($M78="",IF($L78="","次回予定なし","期日未定"),IF($M78&lt;'次回アクション'!$B$2,"期日超過 "&amp;('次回アクション'!$B$2-$M78)&amp;"日",IF($M78='次回アクション'!$B$2,"今日","あと"&amp;($M78-'次回アクション'!$B$2)&amp;"日")))))</f>
        <v/>
      </c>
      <c r="O78" s="12">
        <f>IF($P78="","",IF($M78&lt;&gt;"",$M78+ROW()/100000,IF($L78&lt;&gt;"",100000+ROW()/100000,"")))</f>
        <v/>
      </c>
      <c r="P78" s="12">
        <f>IF(OR($A78="",$K78=0),"",_xlfn.MAXIFS('対応履歴'!$J$5:$J$304,'対応履歴'!$B$5:$B$304,$A78))</f>
        <v/>
      </c>
    </row>
    <row r="79">
      <c r="A79" s="7" t="n"/>
      <c r="B79" s="7" t="n"/>
      <c r="C79" s="8" t="n"/>
      <c r="D79" s="8" t="n"/>
      <c r="E79" s="8" t="n"/>
      <c r="F79" s="8" t="n"/>
      <c r="G79" s="7" t="n"/>
      <c r="H79" s="7" t="n"/>
      <c r="I79" s="8" t="n"/>
      <c r="J79" s="9">
        <f>IF($A79="","",IF($K79=0,"",_xlfn.MAXIFS('対応履歴'!$A$5:$A$304,'対応履歴'!$B$5:$B$304,$A79)))</f>
        <v/>
      </c>
      <c r="K79" s="10">
        <f>IF($A79="","",COUNTIF('対応履歴'!$B$5:$B$304,$A79))</f>
        <v/>
      </c>
      <c r="L79" s="11">
        <f>IF($P79="","",IFERROR(INDEX('対応履歴'!$G$5:$G$304,MATCH($P79,'対応履歴'!$J$5:$J$304,0))&amp;"",""))</f>
        <v/>
      </c>
      <c r="M79" s="9">
        <f>IF($P79="","",IFERROR(IF(INDEX('対応履歴'!$H$5:$H$304,MATCH($P79,'対応履歴'!$J$5:$J$304,0))="","",INDEX('対応履歴'!$H$5:$H$304,MATCH($P79,'対応履歴'!$J$5:$J$304,0))),""))</f>
        <v/>
      </c>
      <c r="N79" s="10">
        <f>IF($A79="","",IF($K79=0,"対応履歴なし",IF($M79="",IF($L79="","次回予定なし","期日未定"),IF($M79&lt;'次回アクション'!$B$2,"期日超過 "&amp;('次回アクション'!$B$2-$M79)&amp;"日",IF($M79='次回アクション'!$B$2,"今日","あと"&amp;($M79-'次回アクション'!$B$2)&amp;"日")))))</f>
        <v/>
      </c>
      <c r="O79" s="12">
        <f>IF($P79="","",IF($M79&lt;&gt;"",$M79+ROW()/100000,IF($L79&lt;&gt;"",100000+ROW()/100000,"")))</f>
        <v/>
      </c>
      <c r="P79" s="12">
        <f>IF(OR($A79="",$K79=0),"",_xlfn.MAXIFS('対応履歴'!$J$5:$J$304,'対応履歴'!$B$5:$B$304,$A79))</f>
        <v/>
      </c>
    </row>
    <row r="80">
      <c r="A80" s="7" t="n"/>
      <c r="B80" s="7" t="n"/>
      <c r="C80" s="8" t="n"/>
      <c r="D80" s="8" t="n"/>
      <c r="E80" s="8" t="n"/>
      <c r="F80" s="8" t="n"/>
      <c r="G80" s="7" t="n"/>
      <c r="H80" s="7" t="n"/>
      <c r="I80" s="8" t="n"/>
      <c r="J80" s="9">
        <f>IF($A80="","",IF($K80=0,"",_xlfn.MAXIFS('対応履歴'!$A$5:$A$304,'対応履歴'!$B$5:$B$304,$A80)))</f>
        <v/>
      </c>
      <c r="K80" s="10">
        <f>IF($A80="","",COUNTIF('対応履歴'!$B$5:$B$304,$A80))</f>
        <v/>
      </c>
      <c r="L80" s="11">
        <f>IF($P80="","",IFERROR(INDEX('対応履歴'!$G$5:$G$304,MATCH($P80,'対応履歴'!$J$5:$J$304,0))&amp;"",""))</f>
        <v/>
      </c>
      <c r="M80" s="9">
        <f>IF($P80="","",IFERROR(IF(INDEX('対応履歴'!$H$5:$H$304,MATCH($P80,'対応履歴'!$J$5:$J$304,0))="","",INDEX('対応履歴'!$H$5:$H$304,MATCH($P80,'対応履歴'!$J$5:$J$304,0))),""))</f>
        <v/>
      </c>
      <c r="N80" s="10">
        <f>IF($A80="","",IF($K80=0,"対応履歴なし",IF($M80="",IF($L80="","次回予定なし","期日未定"),IF($M80&lt;'次回アクション'!$B$2,"期日超過 "&amp;('次回アクション'!$B$2-$M80)&amp;"日",IF($M80='次回アクション'!$B$2,"今日","あと"&amp;($M80-'次回アクション'!$B$2)&amp;"日")))))</f>
        <v/>
      </c>
      <c r="O80" s="12">
        <f>IF($P80="","",IF($M80&lt;&gt;"",$M80+ROW()/100000,IF($L80&lt;&gt;"",100000+ROW()/100000,"")))</f>
        <v/>
      </c>
      <c r="P80" s="12">
        <f>IF(OR($A80="",$K80=0),"",_xlfn.MAXIFS('対応履歴'!$J$5:$J$304,'対応履歴'!$B$5:$B$304,$A80))</f>
        <v/>
      </c>
    </row>
    <row r="81">
      <c r="A81" s="7" t="n"/>
      <c r="B81" s="7" t="n"/>
      <c r="C81" s="8" t="n"/>
      <c r="D81" s="8" t="n"/>
      <c r="E81" s="8" t="n"/>
      <c r="F81" s="8" t="n"/>
      <c r="G81" s="7" t="n"/>
      <c r="H81" s="7" t="n"/>
      <c r="I81" s="8" t="n"/>
      <c r="J81" s="9">
        <f>IF($A81="","",IF($K81=0,"",_xlfn.MAXIFS('対応履歴'!$A$5:$A$304,'対応履歴'!$B$5:$B$304,$A81)))</f>
        <v/>
      </c>
      <c r="K81" s="10">
        <f>IF($A81="","",COUNTIF('対応履歴'!$B$5:$B$304,$A81))</f>
        <v/>
      </c>
      <c r="L81" s="11">
        <f>IF($P81="","",IFERROR(INDEX('対応履歴'!$G$5:$G$304,MATCH($P81,'対応履歴'!$J$5:$J$304,0))&amp;"",""))</f>
        <v/>
      </c>
      <c r="M81" s="9">
        <f>IF($P81="","",IFERROR(IF(INDEX('対応履歴'!$H$5:$H$304,MATCH($P81,'対応履歴'!$J$5:$J$304,0))="","",INDEX('対応履歴'!$H$5:$H$304,MATCH($P81,'対応履歴'!$J$5:$J$304,0))),""))</f>
        <v/>
      </c>
      <c r="N81" s="10">
        <f>IF($A81="","",IF($K81=0,"対応履歴なし",IF($M81="",IF($L81="","次回予定なし","期日未定"),IF($M81&lt;'次回アクション'!$B$2,"期日超過 "&amp;('次回アクション'!$B$2-$M81)&amp;"日",IF($M81='次回アクション'!$B$2,"今日","あと"&amp;($M81-'次回アクション'!$B$2)&amp;"日")))))</f>
        <v/>
      </c>
      <c r="O81" s="12">
        <f>IF($P81="","",IF($M81&lt;&gt;"",$M81+ROW()/100000,IF($L81&lt;&gt;"",100000+ROW()/100000,"")))</f>
        <v/>
      </c>
      <c r="P81" s="12">
        <f>IF(OR($A81="",$K81=0),"",_xlfn.MAXIFS('対応履歴'!$J$5:$J$304,'対応履歴'!$B$5:$B$304,$A81))</f>
        <v/>
      </c>
    </row>
    <row r="82">
      <c r="A82" s="7" t="n"/>
      <c r="B82" s="7" t="n"/>
      <c r="C82" s="8" t="n"/>
      <c r="D82" s="8" t="n"/>
      <c r="E82" s="8" t="n"/>
      <c r="F82" s="8" t="n"/>
      <c r="G82" s="7" t="n"/>
      <c r="H82" s="7" t="n"/>
      <c r="I82" s="8" t="n"/>
      <c r="J82" s="9">
        <f>IF($A82="","",IF($K82=0,"",_xlfn.MAXIFS('対応履歴'!$A$5:$A$304,'対応履歴'!$B$5:$B$304,$A82)))</f>
        <v/>
      </c>
      <c r="K82" s="10">
        <f>IF($A82="","",COUNTIF('対応履歴'!$B$5:$B$304,$A82))</f>
        <v/>
      </c>
      <c r="L82" s="11">
        <f>IF($P82="","",IFERROR(INDEX('対応履歴'!$G$5:$G$304,MATCH($P82,'対応履歴'!$J$5:$J$304,0))&amp;"",""))</f>
        <v/>
      </c>
      <c r="M82" s="9">
        <f>IF($P82="","",IFERROR(IF(INDEX('対応履歴'!$H$5:$H$304,MATCH($P82,'対応履歴'!$J$5:$J$304,0))="","",INDEX('対応履歴'!$H$5:$H$304,MATCH($P82,'対応履歴'!$J$5:$J$304,0))),""))</f>
        <v/>
      </c>
      <c r="N82" s="10">
        <f>IF($A82="","",IF($K82=0,"対応履歴なし",IF($M82="",IF($L82="","次回予定なし","期日未定"),IF($M82&lt;'次回アクション'!$B$2,"期日超過 "&amp;('次回アクション'!$B$2-$M82)&amp;"日",IF($M82='次回アクション'!$B$2,"今日","あと"&amp;($M82-'次回アクション'!$B$2)&amp;"日")))))</f>
        <v/>
      </c>
      <c r="O82" s="12">
        <f>IF($P82="","",IF($M82&lt;&gt;"",$M82+ROW()/100000,IF($L82&lt;&gt;"",100000+ROW()/100000,"")))</f>
        <v/>
      </c>
      <c r="P82" s="12">
        <f>IF(OR($A82="",$K82=0),"",_xlfn.MAXIFS('対応履歴'!$J$5:$J$304,'対応履歴'!$B$5:$B$304,$A82))</f>
        <v/>
      </c>
    </row>
    <row r="83">
      <c r="A83" s="7" t="n"/>
      <c r="B83" s="7" t="n"/>
      <c r="C83" s="8" t="n"/>
      <c r="D83" s="8" t="n"/>
      <c r="E83" s="8" t="n"/>
      <c r="F83" s="8" t="n"/>
      <c r="G83" s="7" t="n"/>
      <c r="H83" s="7" t="n"/>
      <c r="I83" s="8" t="n"/>
      <c r="J83" s="9">
        <f>IF($A83="","",IF($K83=0,"",_xlfn.MAXIFS('対応履歴'!$A$5:$A$304,'対応履歴'!$B$5:$B$304,$A83)))</f>
        <v/>
      </c>
      <c r="K83" s="10">
        <f>IF($A83="","",COUNTIF('対応履歴'!$B$5:$B$304,$A83))</f>
        <v/>
      </c>
      <c r="L83" s="11">
        <f>IF($P83="","",IFERROR(INDEX('対応履歴'!$G$5:$G$304,MATCH($P83,'対応履歴'!$J$5:$J$304,0))&amp;"",""))</f>
        <v/>
      </c>
      <c r="M83" s="9">
        <f>IF($P83="","",IFERROR(IF(INDEX('対応履歴'!$H$5:$H$304,MATCH($P83,'対応履歴'!$J$5:$J$304,0))="","",INDEX('対応履歴'!$H$5:$H$304,MATCH($P83,'対応履歴'!$J$5:$J$304,0))),""))</f>
        <v/>
      </c>
      <c r="N83" s="10">
        <f>IF($A83="","",IF($K83=0,"対応履歴なし",IF($M83="",IF($L83="","次回予定なし","期日未定"),IF($M83&lt;'次回アクション'!$B$2,"期日超過 "&amp;('次回アクション'!$B$2-$M83)&amp;"日",IF($M83='次回アクション'!$B$2,"今日","あと"&amp;($M83-'次回アクション'!$B$2)&amp;"日")))))</f>
        <v/>
      </c>
      <c r="O83" s="12">
        <f>IF($P83="","",IF($M83&lt;&gt;"",$M83+ROW()/100000,IF($L83&lt;&gt;"",100000+ROW()/100000,"")))</f>
        <v/>
      </c>
      <c r="P83" s="12">
        <f>IF(OR($A83="",$K83=0),"",_xlfn.MAXIFS('対応履歴'!$J$5:$J$304,'対応履歴'!$B$5:$B$304,$A83))</f>
        <v/>
      </c>
    </row>
    <row r="84">
      <c r="A84" s="7" t="n"/>
      <c r="B84" s="7" t="n"/>
      <c r="C84" s="8" t="n"/>
      <c r="D84" s="8" t="n"/>
      <c r="E84" s="8" t="n"/>
      <c r="F84" s="8" t="n"/>
      <c r="G84" s="7" t="n"/>
      <c r="H84" s="7" t="n"/>
      <c r="I84" s="8" t="n"/>
      <c r="J84" s="9">
        <f>IF($A84="","",IF($K84=0,"",_xlfn.MAXIFS('対応履歴'!$A$5:$A$304,'対応履歴'!$B$5:$B$304,$A84)))</f>
        <v/>
      </c>
      <c r="K84" s="10">
        <f>IF($A84="","",COUNTIF('対応履歴'!$B$5:$B$304,$A84))</f>
        <v/>
      </c>
      <c r="L84" s="11">
        <f>IF($P84="","",IFERROR(INDEX('対応履歴'!$G$5:$G$304,MATCH($P84,'対応履歴'!$J$5:$J$304,0))&amp;"",""))</f>
        <v/>
      </c>
      <c r="M84" s="9">
        <f>IF($P84="","",IFERROR(IF(INDEX('対応履歴'!$H$5:$H$304,MATCH($P84,'対応履歴'!$J$5:$J$304,0))="","",INDEX('対応履歴'!$H$5:$H$304,MATCH($P84,'対応履歴'!$J$5:$J$304,0))),""))</f>
        <v/>
      </c>
      <c r="N84" s="10">
        <f>IF($A84="","",IF($K84=0,"対応履歴なし",IF($M84="",IF($L84="","次回予定なし","期日未定"),IF($M84&lt;'次回アクション'!$B$2,"期日超過 "&amp;('次回アクション'!$B$2-$M84)&amp;"日",IF($M84='次回アクション'!$B$2,"今日","あと"&amp;($M84-'次回アクション'!$B$2)&amp;"日")))))</f>
        <v/>
      </c>
      <c r="O84" s="12">
        <f>IF($P84="","",IF($M84&lt;&gt;"",$M84+ROW()/100000,IF($L84&lt;&gt;"",100000+ROW()/100000,"")))</f>
        <v/>
      </c>
      <c r="P84" s="12">
        <f>IF(OR($A84="",$K84=0),"",_xlfn.MAXIFS('対応履歴'!$J$5:$J$304,'対応履歴'!$B$5:$B$304,$A84))</f>
        <v/>
      </c>
    </row>
    <row r="85">
      <c r="A85" s="7" t="n"/>
      <c r="B85" s="7" t="n"/>
      <c r="C85" s="8" t="n"/>
      <c r="D85" s="8" t="n"/>
      <c r="E85" s="8" t="n"/>
      <c r="F85" s="8" t="n"/>
      <c r="G85" s="7" t="n"/>
      <c r="H85" s="7" t="n"/>
      <c r="I85" s="8" t="n"/>
      <c r="J85" s="9">
        <f>IF($A85="","",IF($K85=0,"",_xlfn.MAXIFS('対応履歴'!$A$5:$A$304,'対応履歴'!$B$5:$B$304,$A85)))</f>
        <v/>
      </c>
      <c r="K85" s="10">
        <f>IF($A85="","",COUNTIF('対応履歴'!$B$5:$B$304,$A85))</f>
        <v/>
      </c>
      <c r="L85" s="11">
        <f>IF($P85="","",IFERROR(INDEX('対応履歴'!$G$5:$G$304,MATCH($P85,'対応履歴'!$J$5:$J$304,0))&amp;"",""))</f>
        <v/>
      </c>
      <c r="M85" s="9">
        <f>IF($P85="","",IFERROR(IF(INDEX('対応履歴'!$H$5:$H$304,MATCH($P85,'対応履歴'!$J$5:$J$304,0))="","",INDEX('対応履歴'!$H$5:$H$304,MATCH($P85,'対応履歴'!$J$5:$J$304,0))),""))</f>
        <v/>
      </c>
      <c r="N85" s="10">
        <f>IF($A85="","",IF($K85=0,"対応履歴なし",IF($M85="",IF($L85="","次回予定なし","期日未定"),IF($M85&lt;'次回アクション'!$B$2,"期日超過 "&amp;('次回アクション'!$B$2-$M85)&amp;"日",IF($M85='次回アクション'!$B$2,"今日","あと"&amp;($M85-'次回アクション'!$B$2)&amp;"日")))))</f>
        <v/>
      </c>
      <c r="O85" s="12">
        <f>IF($P85="","",IF($M85&lt;&gt;"",$M85+ROW()/100000,IF($L85&lt;&gt;"",100000+ROW()/100000,"")))</f>
        <v/>
      </c>
      <c r="P85" s="12">
        <f>IF(OR($A85="",$K85=0),"",_xlfn.MAXIFS('対応履歴'!$J$5:$J$304,'対応履歴'!$B$5:$B$304,$A85))</f>
        <v/>
      </c>
    </row>
    <row r="86">
      <c r="A86" s="7" t="n"/>
      <c r="B86" s="7" t="n"/>
      <c r="C86" s="8" t="n"/>
      <c r="D86" s="8" t="n"/>
      <c r="E86" s="8" t="n"/>
      <c r="F86" s="8" t="n"/>
      <c r="G86" s="7" t="n"/>
      <c r="H86" s="7" t="n"/>
      <c r="I86" s="8" t="n"/>
      <c r="J86" s="9">
        <f>IF($A86="","",IF($K86=0,"",_xlfn.MAXIFS('対応履歴'!$A$5:$A$304,'対応履歴'!$B$5:$B$304,$A86)))</f>
        <v/>
      </c>
      <c r="K86" s="10">
        <f>IF($A86="","",COUNTIF('対応履歴'!$B$5:$B$304,$A86))</f>
        <v/>
      </c>
      <c r="L86" s="11">
        <f>IF($P86="","",IFERROR(INDEX('対応履歴'!$G$5:$G$304,MATCH($P86,'対応履歴'!$J$5:$J$304,0))&amp;"",""))</f>
        <v/>
      </c>
      <c r="M86" s="9">
        <f>IF($P86="","",IFERROR(IF(INDEX('対応履歴'!$H$5:$H$304,MATCH($P86,'対応履歴'!$J$5:$J$304,0))="","",INDEX('対応履歴'!$H$5:$H$304,MATCH($P86,'対応履歴'!$J$5:$J$304,0))),""))</f>
        <v/>
      </c>
      <c r="N86" s="10">
        <f>IF($A86="","",IF($K86=0,"対応履歴なし",IF($M86="",IF($L86="","次回予定なし","期日未定"),IF($M86&lt;'次回アクション'!$B$2,"期日超過 "&amp;('次回アクション'!$B$2-$M86)&amp;"日",IF($M86='次回アクション'!$B$2,"今日","あと"&amp;($M86-'次回アクション'!$B$2)&amp;"日")))))</f>
        <v/>
      </c>
      <c r="O86" s="12">
        <f>IF($P86="","",IF($M86&lt;&gt;"",$M86+ROW()/100000,IF($L86&lt;&gt;"",100000+ROW()/100000,"")))</f>
        <v/>
      </c>
      <c r="P86" s="12">
        <f>IF(OR($A86="",$K86=0),"",_xlfn.MAXIFS('対応履歴'!$J$5:$J$304,'対応履歴'!$B$5:$B$304,$A86))</f>
        <v/>
      </c>
    </row>
    <row r="87">
      <c r="A87" s="7" t="n"/>
      <c r="B87" s="7" t="n"/>
      <c r="C87" s="8" t="n"/>
      <c r="D87" s="8" t="n"/>
      <c r="E87" s="8" t="n"/>
      <c r="F87" s="8" t="n"/>
      <c r="G87" s="7" t="n"/>
      <c r="H87" s="7" t="n"/>
      <c r="I87" s="8" t="n"/>
      <c r="J87" s="9">
        <f>IF($A87="","",IF($K87=0,"",_xlfn.MAXIFS('対応履歴'!$A$5:$A$304,'対応履歴'!$B$5:$B$304,$A87)))</f>
        <v/>
      </c>
      <c r="K87" s="10">
        <f>IF($A87="","",COUNTIF('対応履歴'!$B$5:$B$304,$A87))</f>
        <v/>
      </c>
      <c r="L87" s="11">
        <f>IF($P87="","",IFERROR(INDEX('対応履歴'!$G$5:$G$304,MATCH($P87,'対応履歴'!$J$5:$J$304,0))&amp;"",""))</f>
        <v/>
      </c>
      <c r="M87" s="9">
        <f>IF($P87="","",IFERROR(IF(INDEX('対応履歴'!$H$5:$H$304,MATCH($P87,'対応履歴'!$J$5:$J$304,0))="","",INDEX('対応履歴'!$H$5:$H$304,MATCH($P87,'対応履歴'!$J$5:$J$304,0))),""))</f>
        <v/>
      </c>
      <c r="N87" s="10">
        <f>IF($A87="","",IF($K87=0,"対応履歴なし",IF($M87="",IF($L87="","次回予定なし","期日未定"),IF($M87&lt;'次回アクション'!$B$2,"期日超過 "&amp;('次回アクション'!$B$2-$M87)&amp;"日",IF($M87='次回アクション'!$B$2,"今日","あと"&amp;($M87-'次回アクション'!$B$2)&amp;"日")))))</f>
        <v/>
      </c>
      <c r="O87" s="12">
        <f>IF($P87="","",IF($M87&lt;&gt;"",$M87+ROW()/100000,IF($L87&lt;&gt;"",100000+ROW()/100000,"")))</f>
        <v/>
      </c>
      <c r="P87" s="12">
        <f>IF(OR($A87="",$K87=0),"",_xlfn.MAXIFS('対応履歴'!$J$5:$J$304,'対応履歴'!$B$5:$B$304,$A87))</f>
        <v/>
      </c>
    </row>
    <row r="88">
      <c r="A88" s="7" t="n"/>
      <c r="B88" s="7" t="n"/>
      <c r="C88" s="8" t="n"/>
      <c r="D88" s="8" t="n"/>
      <c r="E88" s="8" t="n"/>
      <c r="F88" s="8" t="n"/>
      <c r="G88" s="7" t="n"/>
      <c r="H88" s="7" t="n"/>
      <c r="I88" s="8" t="n"/>
      <c r="J88" s="9">
        <f>IF($A88="","",IF($K88=0,"",_xlfn.MAXIFS('対応履歴'!$A$5:$A$304,'対応履歴'!$B$5:$B$304,$A88)))</f>
        <v/>
      </c>
      <c r="K88" s="10">
        <f>IF($A88="","",COUNTIF('対応履歴'!$B$5:$B$304,$A88))</f>
        <v/>
      </c>
      <c r="L88" s="11">
        <f>IF($P88="","",IFERROR(INDEX('対応履歴'!$G$5:$G$304,MATCH($P88,'対応履歴'!$J$5:$J$304,0))&amp;"",""))</f>
        <v/>
      </c>
      <c r="M88" s="9">
        <f>IF($P88="","",IFERROR(IF(INDEX('対応履歴'!$H$5:$H$304,MATCH($P88,'対応履歴'!$J$5:$J$304,0))="","",INDEX('対応履歴'!$H$5:$H$304,MATCH($P88,'対応履歴'!$J$5:$J$304,0))),""))</f>
        <v/>
      </c>
      <c r="N88" s="10">
        <f>IF($A88="","",IF($K88=0,"対応履歴なし",IF($M88="",IF($L88="","次回予定なし","期日未定"),IF($M88&lt;'次回アクション'!$B$2,"期日超過 "&amp;('次回アクション'!$B$2-$M88)&amp;"日",IF($M88='次回アクション'!$B$2,"今日","あと"&amp;($M88-'次回アクション'!$B$2)&amp;"日")))))</f>
        <v/>
      </c>
      <c r="O88" s="12">
        <f>IF($P88="","",IF($M88&lt;&gt;"",$M88+ROW()/100000,IF($L88&lt;&gt;"",100000+ROW()/100000,"")))</f>
        <v/>
      </c>
      <c r="P88" s="12">
        <f>IF(OR($A88="",$K88=0),"",_xlfn.MAXIFS('対応履歴'!$J$5:$J$304,'対応履歴'!$B$5:$B$304,$A88))</f>
        <v/>
      </c>
    </row>
    <row r="89">
      <c r="A89" s="7" t="n"/>
      <c r="B89" s="7" t="n"/>
      <c r="C89" s="8" t="n"/>
      <c r="D89" s="8" t="n"/>
      <c r="E89" s="8" t="n"/>
      <c r="F89" s="8" t="n"/>
      <c r="G89" s="7" t="n"/>
      <c r="H89" s="7" t="n"/>
      <c r="I89" s="8" t="n"/>
      <c r="J89" s="9">
        <f>IF($A89="","",IF($K89=0,"",_xlfn.MAXIFS('対応履歴'!$A$5:$A$304,'対応履歴'!$B$5:$B$304,$A89)))</f>
        <v/>
      </c>
      <c r="K89" s="10">
        <f>IF($A89="","",COUNTIF('対応履歴'!$B$5:$B$304,$A89))</f>
        <v/>
      </c>
      <c r="L89" s="11">
        <f>IF($P89="","",IFERROR(INDEX('対応履歴'!$G$5:$G$304,MATCH($P89,'対応履歴'!$J$5:$J$304,0))&amp;"",""))</f>
        <v/>
      </c>
      <c r="M89" s="9">
        <f>IF($P89="","",IFERROR(IF(INDEX('対応履歴'!$H$5:$H$304,MATCH($P89,'対応履歴'!$J$5:$J$304,0))="","",INDEX('対応履歴'!$H$5:$H$304,MATCH($P89,'対応履歴'!$J$5:$J$304,0))),""))</f>
        <v/>
      </c>
      <c r="N89" s="10">
        <f>IF($A89="","",IF($K89=0,"対応履歴なし",IF($M89="",IF($L89="","次回予定なし","期日未定"),IF($M89&lt;'次回アクション'!$B$2,"期日超過 "&amp;('次回アクション'!$B$2-$M89)&amp;"日",IF($M89='次回アクション'!$B$2,"今日","あと"&amp;($M89-'次回アクション'!$B$2)&amp;"日")))))</f>
        <v/>
      </c>
      <c r="O89" s="12">
        <f>IF($P89="","",IF($M89&lt;&gt;"",$M89+ROW()/100000,IF($L89&lt;&gt;"",100000+ROW()/100000,"")))</f>
        <v/>
      </c>
      <c r="P89" s="12">
        <f>IF(OR($A89="",$K89=0),"",_xlfn.MAXIFS('対応履歴'!$J$5:$J$304,'対応履歴'!$B$5:$B$304,$A89))</f>
        <v/>
      </c>
    </row>
    <row r="90">
      <c r="A90" s="7" t="n"/>
      <c r="B90" s="7" t="n"/>
      <c r="C90" s="8" t="n"/>
      <c r="D90" s="8" t="n"/>
      <c r="E90" s="8" t="n"/>
      <c r="F90" s="8" t="n"/>
      <c r="G90" s="7" t="n"/>
      <c r="H90" s="7" t="n"/>
      <c r="I90" s="8" t="n"/>
      <c r="J90" s="9">
        <f>IF($A90="","",IF($K90=0,"",_xlfn.MAXIFS('対応履歴'!$A$5:$A$304,'対応履歴'!$B$5:$B$304,$A90)))</f>
        <v/>
      </c>
      <c r="K90" s="10">
        <f>IF($A90="","",COUNTIF('対応履歴'!$B$5:$B$304,$A90))</f>
        <v/>
      </c>
      <c r="L90" s="11">
        <f>IF($P90="","",IFERROR(INDEX('対応履歴'!$G$5:$G$304,MATCH($P90,'対応履歴'!$J$5:$J$304,0))&amp;"",""))</f>
        <v/>
      </c>
      <c r="M90" s="9">
        <f>IF($P90="","",IFERROR(IF(INDEX('対応履歴'!$H$5:$H$304,MATCH($P90,'対応履歴'!$J$5:$J$304,0))="","",INDEX('対応履歴'!$H$5:$H$304,MATCH($P90,'対応履歴'!$J$5:$J$304,0))),""))</f>
        <v/>
      </c>
      <c r="N90" s="10">
        <f>IF($A90="","",IF($K90=0,"対応履歴なし",IF($M90="",IF($L90="","次回予定なし","期日未定"),IF($M90&lt;'次回アクション'!$B$2,"期日超過 "&amp;('次回アクション'!$B$2-$M90)&amp;"日",IF($M90='次回アクション'!$B$2,"今日","あと"&amp;($M90-'次回アクション'!$B$2)&amp;"日")))))</f>
        <v/>
      </c>
      <c r="O90" s="12">
        <f>IF($P90="","",IF($M90&lt;&gt;"",$M90+ROW()/100000,IF($L90&lt;&gt;"",100000+ROW()/100000,"")))</f>
        <v/>
      </c>
      <c r="P90" s="12">
        <f>IF(OR($A90="",$K90=0),"",_xlfn.MAXIFS('対応履歴'!$J$5:$J$304,'対応履歴'!$B$5:$B$304,$A90))</f>
        <v/>
      </c>
    </row>
    <row r="91">
      <c r="A91" s="7" t="n"/>
      <c r="B91" s="7" t="n"/>
      <c r="C91" s="8" t="n"/>
      <c r="D91" s="8" t="n"/>
      <c r="E91" s="8" t="n"/>
      <c r="F91" s="8" t="n"/>
      <c r="G91" s="7" t="n"/>
      <c r="H91" s="7" t="n"/>
      <c r="I91" s="8" t="n"/>
      <c r="J91" s="9">
        <f>IF($A91="","",IF($K91=0,"",_xlfn.MAXIFS('対応履歴'!$A$5:$A$304,'対応履歴'!$B$5:$B$304,$A91)))</f>
        <v/>
      </c>
      <c r="K91" s="10">
        <f>IF($A91="","",COUNTIF('対応履歴'!$B$5:$B$304,$A91))</f>
        <v/>
      </c>
      <c r="L91" s="11">
        <f>IF($P91="","",IFERROR(INDEX('対応履歴'!$G$5:$G$304,MATCH($P91,'対応履歴'!$J$5:$J$304,0))&amp;"",""))</f>
        <v/>
      </c>
      <c r="M91" s="9">
        <f>IF($P91="","",IFERROR(IF(INDEX('対応履歴'!$H$5:$H$304,MATCH($P91,'対応履歴'!$J$5:$J$304,0))="","",INDEX('対応履歴'!$H$5:$H$304,MATCH($P91,'対応履歴'!$J$5:$J$304,0))),""))</f>
        <v/>
      </c>
      <c r="N91" s="10">
        <f>IF($A91="","",IF($K91=0,"対応履歴なし",IF($M91="",IF($L91="","次回予定なし","期日未定"),IF($M91&lt;'次回アクション'!$B$2,"期日超過 "&amp;('次回アクション'!$B$2-$M91)&amp;"日",IF($M91='次回アクション'!$B$2,"今日","あと"&amp;($M91-'次回アクション'!$B$2)&amp;"日")))))</f>
        <v/>
      </c>
      <c r="O91" s="12">
        <f>IF($P91="","",IF($M91&lt;&gt;"",$M91+ROW()/100000,IF($L91&lt;&gt;"",100000+ROW()/100000,"")))</f>
        <v/>
      </c>
      <c r="P91" s="12">
        <f>IF(OR($A91="",$K91=0),"",_xlfn.MAXIFS('対応履歴'!$J$5:$J$304,'対応履歴'!$B$5:$B$304,$A91))</f>
        <v/>
      </c>
    </row>
    <row r="92">
      <c r="A92" s="7" t="n"/>
      <c r="B92" s="7" t="n"/>
      <c r="C92" s="8" t="n"/>
      <c r="D92" s="8" t="n"/>
      <c r="E92" s="8" t="n"/>
      <c r="F92" s="8" t="n"/>
      <c r="G92" s="7" t="n"/>
      <c r="H92" s="7" t="n"/>
      <c r="I92" s="8" t="n"/>
      <c r="J92" s="9">
        <f>IF($A92="","",IF($K92=0,"",_xlfn.MAXIFS('対応履歴'!$A$5:$A$304,'対応履歴'!$B$5:$B$304,$A92)))</f>
        <v/>
      </c>
      <c r="K92" s="10">
        <f>IF($A92="","",COUNTIF('対応履歴'!$B$5:$B$304,$A92))</f>
        <v/>
      </c>
      <c r="L92" s="11">
        <f>IF($P92="","",IFERROR(INDEX('対応履歴'!$G$5:$G$304,MATCH($P92,'対応履歴'!$J$5:$J$304,0))&amp;"",""))</f>
        <v/>
      </c>
      <c r="M92" s="9">
        <f>IF($P92="","",IFERROR(IF(INDEX('対応履歴'!$H$5:$H$304,MATCH($P92,'対応履歴'!$J$5:$J$304,0))="","",INDEX('対応履歴'!$H$5:$H$304,MATCH($P92,'対応履歴'!$J$5:$J$304,0))),""))</f>
        <v/>
      </c>
      <c r="N92" s="10">
        <f>IF($A92="","",IF($K92=0,"対応履歴なし",IF($M92="",IF($L92="","次回予定なし","期日未定"),IF($M92&lt;'次回アクション'!$B$2,"期日超過 "&amp;('次回アクション'!$B$2-$M92)&amp;"日",IF($M92='次回アクション'!$B$2,"今日","あと"&amp;($M92-'次回アクション'!$B$2)&amp;"日")))))</f>
        <v/>
      </c>
      <c r="O92" s="12">
        <f>IF($P92="","",IF($M92&lt;&gt;"",$M92+ROW()/100000,IF($L92&lt;&gt;"",100000+ROW()/100000,"")))</f>
        <v/>
      </c>
      <c r="P92" s="12">
        <f>IF(OR($A92="",$K92=0),"",_xlfn.MAXIFS('対応履歴'!$J$5:$J$304,'対応履歴'!$B$5:$B$304,$A92))</f>
        <v/>
      </c>
    </row>
    <row r="93">
      <c r="A93" s="7" t="n"/>
      <c r="B93" s="7" t="n"/>
      <c r="C93" s="8" t="n"/>
      <c r="D93" s="8" t="n"/>
      <c r="E93" s="8" t="n"/>
      <c r="F93" s="8" t="n"/>
      <c r="G93" s="7" t="n"/>
      <c r="H93" s="7" t="n"/>
      <c r="I93" s="8" t="n"/>
      <c r="J93" s="9">
        <f>IF($A93="","",IF($K93=0,"",_xlfn.MAXIFS('対応履歴'!$A$5:$A$304,'対応履歴'!$B$5:$B$304,$A93)))</f>
        <v/>
      </c>
      <c r="K93" s="10">
        <f>IF($A93="","",COUNTIF('対応履歴'!$B$5:$B$304,$A93))</f>
        <v/>
      </c>
      <c r="L93" s="11">
        <f>IF($P93="","",IFERROR(INDEX('対応履歴'!$G$5:$G$304,MATCH($P93,'対応履歴'!$J$5:$J$304,0))&amp;"",""))</f>
        <v/>
      </c>
      <c r="M93" s="9">
        <f>IF($P93="","",IFERROR(IF(INDEX('対応履歴'!$H$5:$H$304,MATCH($P93,'対応履歴'!$J$5:$J$304,0))="","",INDEX('対応履歴'!$H$5:$H$304,MATCH($P93,'対応履歴'!$J$5:$J$304,0))),""))</f>
        <v/>
      </c>
      <c r="N93" s="10">
        <f>IF($A93="","",IF($K93=0,"対応履歴なし",IF($M93="",IF($L93="","次回予定なし","期日未定"),IF($M93&lt;'次回アクション'!$B$2,"期日超過 "&amp;('次回アクション'!$B$2-$M93)&amp;"日",IF($M93='次回アクション'!$B$2,"今日","あと"&amp;($M93-'次回アクション'!$B$2)&amp;"日")))))</f>
        <v/>
      </c>
      <c r="O93" s="12">
        <f>IF($P93="","",IF($M93&lt;&gt;"",$M93+ROW()/100000,IF($L93&lt;&gt;"",100000+ROW()/100000,"")))</f>
        <v/>
      </c>
      <c r="P93" s="12">
        <f>IF(OR($A93="",$K93=0),"",_xlfn.MAXIFS('対応履歴'!$J$5:$J$304,'対応履歴'!$B$5:$B$304,$A93))</f>
        <v/>
      </c>
    </row>
    <row r="94">
      <c r="A94" s="7" t="n"/>
      <c r="B94" s="7" t="n"/>
      <c r="C94" s="8" t="n"/>
      <c r="D94" s="8" t="n"/>
      <c r="E94" s="8" t="n"/>
      <c r="F94" s="8" t="n"/>
      <c r="G94" s="7" t="n"/>
      <c r="H94" s="7" t="n"/>
      <c r="I94" s="8" t="n"/>
      <c r="J94" s="9">
        <f>IF($A94="","",IF($K94=0,"",_xlfn.MAXIFS('対応履歴'!$A$5:$A$304,'対応履歴'!$B$5:$B$304,$A94)))</f>
        <v/>
      </c>
      <c r="K94" s="10">
        <f>IF($A94="","",COUNTIF('対応履歴'!$B$5:$B$304,$A94))</f>
        <v/>
      </c>
      <c r="L94" s="11">
        <f>IF($P94="","",IFERROR(INDEX('対応履歴'!$G$5:$G$304,MATCH($P94,'対応履歴'!$J$5:$J$304,0))&amp;"",""))</f>
        <v/>
      </c>
      <c r="M94" s="9">
        <f>IF($P94="","",IFERROR(IF(INDEX('対応履歴'!$H$5:$H$304,MATCH($P94,'対応履歴'!$J$5:$J$304,0))="","",INDEX('対応履歴'!$H$5:$H$304,MATCH($P94,'対応履歴'!$J$5:$J$304,0))),""))</f>
        <v/>
      </c>
      <c r="N94" s="10">
        <f>IF($A94="","",IF($K94=0,"対応履歴なし",IF($M94="",IF($L94="","次回予定なし","期日未定"),IF($M94&lt;'次回アクション'!$B$2,"期日超過 "&amp;('次回アクション'!$B$2-$M94)&amp;"日",IF($M94='次回アクション'!$B$2,"今日","あと"&amp;($M94-'次回アクション'!$B$2)&amp;"日")))))</f>
        <v/>
      </c>
      <c r="O94" s="12">
        <f>IF($P94="","",IF($M94&lt;&gt;"",$M94+ROW()/100000,IF($L94&lt;&gt;"",100000+ROW()/100000,"")))</f>
        <v/>
      </c>
      <c r="P94" s="12">
        <f>IF(OR($A94="",$K94=0),"",_xlfn.MAXIFS('対応履歴'!$J$5:$J$304,'対応履歴'!$B$5:$B$304,$A94))</f>
        <v/>
      </c>
    </row>
    <row r="95">
      <c r="A95" s="7" t="n"/>
      <c r="B95" s="7" t="n"/>
      <c r="C95" s="8" t="n"/>
      <c r="D95" s="8" t="n"/>
      <c r="E95" s="8" t="n"/>
      <c r="F95" s="8" t="n"/>
      <c r="G95" s="7" t="n"/>
      <c r="H95" s="7" t="n"/>
      <c r="I95" s="8" t="n"/>
      <c r="J95" s="9">
        <f>IF($A95="","",IF($K95=0,"",_xlfn.MAXIFS('対応履歴'!$A$5:$A$304,'対応履歴'!$B$5:$B$304,$A95)))</f>
        <v/>
      </c>
      <c r="K95" s="10">
        <f>IF($A95="","",COUNTIF('対応履歴'!$B$5:$B$304,$A95))</f>
        <v/>
      </c>
      <c r="L95" s="11">
        <f>IF($P95="","",IFERROR(INDEX('対応履歴'!$G$5:$G$304,MATCH($P95,'対応履歴'!$J$5:$J$304,0))&amp;"",""))</f>
        <v/>
      </c>
      <c r="M95" s="9">
        <f>IF($P95="","",IFERROR(IF(INDEX('対応履歴'!$H$5:$H$304,MATCH($P95,'対応履歴'!$J$5:$J$304,0))="","",INDEX('対応履歴'!$H$5:$H$304,MATCH($P95,'対応履歴'!$J$5:$J$304,0))),""))</f>
        <v/>
      </c>
      <c r="N95" s="10">
        <f>IF($A95="","",IF($K95=0,"対応履歴なし",IF($M95="",IF($L95="","次回予定なし","期日未定"),IF($M95&lt;'次回アクション'!$B$2,"期日超過 "&amp;('次回アクション'!$B$2-$M95)&amp;"日",IF($M95='次回アクション'!$B$2,"今日","あと"&amp;($M95-'次回アクション'!$B$2)&amp;"日")))))</f>
        <v/>
      </c>
      <c r="O95" s="12">
        <f>IF($P95="","",IF($M95&lt;&gt;"",$M95+ROW()/100000,IF($L95&lt;&gt;"",100000+ROW()/100000,"")))</f>
        <v/>
      </c>
      <c r="P95" s="12">
        <f>IF(OR($A95="",$K95=0),"",_xlfn.MAXIFS('対応履歴'!$J$5:$J$304,'対応履歴'!$B$5:$B$304,$A95))</f>
        <v/>
      </c>
    </row>
    <row r="96">
      <c r="A96" s="7" t="n"/>
      <c r="B96" s="7" t="n"/>
      <c r="C96" s="8" t="n"/>
      <c r="D96" s="8" t="n"/>
      <c r="E96" s="8" t="n"/>
      <c r="F96" s="8" t="n"/>
      <c r="G96" s="7" t="n"/>
      <c r="H96" s="7" t="n"/>
      <c r="I96" s="8" t="n"/>
      <c r="J96" s="9">
        <f>IF($A96="","",IF($K96=0,"",_xlfn.MAXIFS('対応履歴'!$A$5:$A$304,'対応履歴'!$B$5:$B$304,$A96)))</f>
        <v/>
      </c>
      <c r="K96" s="10">
        <f>IF($A96="","",COUNTIF('対応履歴'!$B$5:$B$304,$A96))</f>
        <v/>
      </c>
      <c r="L96" s="11">
        <f>IF($P96="","",IFERROR(INDEX('対応履歴'!$G$5:$G$304,MATCH($P96,'対応履歴'!$J$5:$J$304,0))&amp;"",""))</f>
        <v/>
      </c>
      <c r="M96" s="9">
        <f>IF($P96="","",IFERROR(IF(INDEX('対応履歴'!$H$5:$H$304,MATCH($P96,'対応履歴'!$J$5:$J$304,0))="","",INDEX('対応履歴'!$H$5:$H$304,MATCH($P96,'対応履歴'!$J$5:$J$304,0))),""))</f>
        <v/>
      </c>
      <c r="N96" s="10">
        <f>IF($A96="","",IF($K96=0,"対応履歴なし",IF($M96="",IF($L96="","次回予定なし","期日未定"),IF($M96&lt;'次回アクション'!$B$2,"期日超過 "&amp;('次回アクション'!$B$2-$M96)&amp;"日",IF($M96='次回アクション'!$B$2,"今日","あと"&amp;($M96-'次回アクション'!$B$2)&amp;"日")))))</f>
        <v/>
      </c>
      <c r="O96" s="12">
        <f>IF($P96="","",IF($M96&lt;&gt;"",$M96+ROW()/100000,IF($L96&lt;&gt;"",100000+ROW()/100000,"")))</f>
        <v/>
      </c>
      <c r="P96" s="12">
        <f>IF(OR($A96="",$K96=0),"",_xlfn.MAXIFS('対応履歴'!$J$5:$J$304,'対応履歴'!$B$5:$B$304,$A96))</f>
        <v/>
      </c>
    </row>
    <row r="97">
      <c r="A97" s="7" t="n"/>
      <c r="B97" s="7" t="n"/>
      <c r="C97" s="8" t="n"/>
      <c r="D97" s="8" t="n"/>
      <c r="E97" s="8" t="n"/>
      <c r="F97" s="8" t="n"/>
      <c r="G97" s="7" t="n"/>
      <c r="H97" s="7" t="n"/>
      <c r="I97" s="8" t="n"/>
      <c r="J97" s="9">
        <f>IF($A97="","",IF($K97=0,"",_xlfn.MAXIFS('対応履歴'!$A$5:$A$304,'対応履歴'!$B$5:$B$304,$A97)))</f>
        <v/>
      </c>
      <c r="K97" s="10">
        <f>IF($A97="","",COUNTIF('対応履歴'!$B$5:$B$304,$A97))</f>
        <v/>
      </c>
      <c r="L97" s="11">
        <f>IF($P97="","",IFERROR(INDEX('対応履歴'!$G$5:$G$304,MATCH($P97,'対応履歴'!$J$5:$J$304,0))&amp;"",""))</f>
        <v/>
      </c>
      <c r="M97" s="9">
        <f>IF($P97="","",IFERROR(IF(INDEX('対応履歴'!$H$5:$H$304,MATCH($P97,'対応履歴'!$J$5:$J$304,0))="","",INDEX('対応履歴'!$H$5:$H$304,MATCH($P97,'対応履歴'!$J$5:$J$304,0))),""))</f>
        <v/>
      </c>
      <c r="N97" s="10">
        <f>IF($A97="","",IF($K97=0,"対応履歴なし",IF($M97="",IF($L97="","次回予定なし","期日未定"),IF($M97&lt;'次回アクション'!$B$2,"期日超過 "&amp;('次回アクション'!$B$2-$M97)&amp;"日",IF($M97='次回アクション'!$B$2,"今日","あと"&amp;($M97-'次回アクション'!$B$2)&amp;"日")))))</f>
        <v/>
      </c>
      <c r="O97" s="12">
        <f>IF($P97="","",IF($M97&lt;&gt;"",$M97+ROW()/100000,IF($L97&lt;&gt;"",100000+ROW()/100000,"")))</f>
        <v/>
      </c>
      <c r="P97" s="12">
        <f>IF(OR($A97="",$K97=0),"",_xlfn.MAXIFS('対応履歴'!$J$5:$J$304,'対応履歴'!$B$5:$B$304,$A97))</f>
        <v/>
      </c>
    </row>
    <row r="98">
      <c r="A98" s="7" t="n"/>
      <c r="B98" s="7" t="n"/>
      <c r="C98" s="8" t="n"/>
      <c r="D98" s="8" t="n"/>
      <c r="E98" s="8" t="n"/>
      <c r="F98" s="8" t="n"/>
      <c r="G98" s="7" t="n"/>
      <c r="H98" s="7" t="n"/>
      <c r="I98" s="8" t="n"/>
      <c r="J98" s="9">
        <f>IF($A98="","",IF($K98=0,"",_xlfn.MAXIFS('対応履歴'!$A$5:$A$304,'対応履歴'!$B$5:$B$304,$A98)))</f>
        <v/>
      </c>
      <c r="K98" s="10">
        <f>IF($A98="","",COUNTIF('対応履歴'!$B$5:$B$304,$A98))</f>
        <v/>
      </c>
      <c r="L98" s="11">
        <f>IF($P98="","",IFERROR(INDEX('対応履歴'!$G$5:$G$304,MATCH($P98,'対応履歴'!$J$5:$J$304,0))&amp;"",""))</f>
        <v/>
      </c>
      <c r="M98" s="9">
        <f>IF($P98="","",IFERROR(IF(INDEX('対応履歴'!$H$5:$H$304,MATCH($P98,'対応履歴'!$J$5:$J$304,0))="","",INDEX('対応履歴'!$H$5:$H$304,MATCH($P98,'対応履歴'!$J$5:$J$304,0))),""))</f>
        <v/>
      </c>
      <c r="N98" s="10">
        <f>IF($A98="","",IF($K98=0,"対応履歴なし",IF($M98="",IF($L98="","次回予定なし","期日未定"),IF($M98&lt;'次回アクション'!$B$2,"期日超過 "&amp;('次回アクション'!$B$2-$M98)&amp;"日",IF($M98='次回アクション'!$B$2,"今日","あと"&amp;($M98-'次回アクション'!$B$2)&amp;"日")))))</f>
        <v/>
      </c>
      <c r="O98" s="12">
        <f>IF($P98="","",IF($M98&lt;&gt;"",$M98+ROW()/100000,IF($L98&lt;&gt;"",100000+ROW()/100000,"")))</f>
        <v/>
      </c>
      <c r="P98" s="12">
        <f>IF(OR($A98="",$K98=0),"",_xlfn.MAXIFS('対応履歴'!$J$5:$J$304,'対応履歴'!$B$5:$B$304,$A98))</f>
        <v/>
      </c>
    </row>
    <row r="99">
      <c r="A99" s="7" t="n"/>
      <c r="B99" s="7" t="n"/>
      <c r="C99" s="8" t="n"/>
      <c r="D99" s="8" t="n"/>
      <c r="E99" s="8" t="n"/>
      <c r="F99" s="8" t="n"/>
      <c r="G99" s="7" t="n"/>
      <c r="H99" s="7" t="n"/>
      <c r="I99" s="8" t="n"/>
      <c r="J99" s="9">
        <f>IF($A99="","",IF($K99=0,"",_xlfn.MAXIFS('対応履歴'!$A$5:$A$304,'対応履歴'!$B$5:$B$304,$A99)))</f>
        <v/>
      </c>
      <c r="K99" s="10">
        <f>IF($A99="","",COUNTIF('対応履歴'!$B$5:$B$304,$A99))</f>
        <v/>
      </c>
      <c r="L99" s="11">
        <f>IF($P99="","",IFERROR(INDEX('対応履歴'!$G$5:$G$304,MATCH($P99,'対応履歴'!$J$5:$J$304,0))&amp;"",""))</f>
        <v/>
      </c>
      <c r="M99" s="9">
        <f>IF($P99="","",IFERROR(IF(INDEX('対応履歴'!$H$5:$H$304,MATCH($P99,'対応履歴'!$J$5:$J$304,0))="","",INDEX('対応履歴'!$H$5:$H$304,MATCH($P99,'対応履歴'!$J$5:$J$304,0))),""))</f>
        <v/>
      </c>
      <c r="N99" s="10">
        <f>IF($A99="","",IF($K99=0,"対応履歴なし",IF($M99="",IF($L99="","次回予定なし","期日未定"),IF($M99&lt;'次回アクション'!$B$2,"期日超過 "&amp;('次回アクション'!$B$2-$M99)&amp;"日",IF($M99='次回アクション'!$B$2,"今日","あと"&amp;($M99-'次回アクション'!$B$2)&amp;"日")))))</f>
        <v/>
      </c>
      <c r="O99" s="12">
        <f>IF($P99="","",IF($M99&lt;&gt;"",$M99+ROW()/100000,IF($L99&lt;&gt;"",100000+ROW()/100000,"")))</f>
        <v/>
      </c>
      <c r="P99" s="12">
        <f>IF(OR($A99="",$K99=0),"",_xlfn.MAXIFS('対応履歴'!$J$5:$J$304,'対応履歴'!$B$5:$B$304,$A99))</f>
        <v/>
      </c>
    </row>
    <row r="100">
      <c r="A100" s="7" t="n"/>
      <c r="B100" s="7" t="n"/>
      <c r="C100" s="8" t="n"/>
      <c r="D100" s="8" t="n"/>
      <c r="E100" s="8" t="n"/>
      <c r="F100" s="8" t="n"/>
      <c r="G100" s="7" t="n"/>
      <c r="H100" s="7" t="n"/>
      <c r="I100" s="8" t="n"/>
      <c r="J100" s="9">
        <f>IF($A100="","",IF($K100=0,"",_xlfn.MAXIFS('対応履歴'!$A$5:$A$304,'対応履歴'!$B$5:$B$304,$A100)))</f>
        <v/>
      </c>
      <c r="K100" s="10">
        <f>IF($A100="","",COUNTIF('対応履歴'!$B$5:$B$304,$A100))</f>
        <v/>
      </c>
      <c r="L100" s="11">
        <f>IF($P100="","",IFERROR(INDEX('対応履歴'!$G$5:$G$304,MATCH($P100,'対応履歴'!$J$5:$J$304,0))&amp;"",""))</f>
        <v/>
      </c>
      <c r="M100" s="9">
        <f>IF($P100="","",IFERROR(IF(INDEX('対応履歴'!$H$5:$H$304,MATCH($P100,'対応履歴'!$J$5:$J$304,0))="","",INDEX('対応履歴'!$H$5:$H$304,MATCH($P100,'対応履歴'!$J$5:$J$304,0))),""))</f>
        <v/>
      </c>
      <c r="N100" s="10">
        <f>IF($A100="","",IF($K100=0,"対応履歴なし",IF($M100="",IF($L100="","次回予定なし","期日未定"),IF($M100&lt;'次回アクション'!$B$2,"期日超過 "&amp;('次回アクション'!$B$2-$M100)&amp;"日",IF($M100='次回アクション'!$B$2,"今日","あと"&amp;($M100-'次回アクション'!$B$2)&amp;"日")))))</f>
        <v/>
      </c>
      <c r="O100" s="12">
        <f>IF($P100="","",IF($M100&lt;&gt;"",$M100+ROW()/100000,IF($L100&lt;&gt;"",100000+ROW()/100000,"")))</f>
        <v/>
      </c>
      <c r="P100" s="12">
        <f>IF(OR($A100="",$K100=0),"",_xlfn.MAXIFS('対応履歴'!$J$5:$J$304,'対応履歴'!$B$5:$B$304,$A100))</f>
        <v/>
      </c>
    </row>
    <row r="101">
      <c r="A101" s="7" t="n"/>
      <c r="B101" s="7" t="n"/>
      <c r="C101" s="8" t="n"/>
      <c r="D101" s="8" t="n"/>
      <c r="E101" s="8" t="n"/>
      <c r="F101" s="8" t="n"/>
      <c r="G101" s="7" t="n"/>
      <c r="H101" s="7" t="n"/>
      <c r="I101" s="8" t="n"/>
      <c r="J101" s="9">
        <f>IF($A101="","",IF($K101=0,"",_xlfn.MAXIFS('対応履歴'!$A$5:$A$304,'対応履歴'!$B$5:$B$304,$A101)))</f>
        <v/>
      </c>
      <c r="K101" s="10">
        <f>IF($A101="","",COUNTIF('対応履歴'!$B$5:$B$304,$A101))</f>
        <v/>
      </c>
      <c r="L101" s="11">
        <f>IF($P101="","",IFERROR(INDEX('対応履歴'!$G$5:$G$304,MATCH($P101,'対応履歴'!$J$5:$J$304,0))&amp;"",""))</f>
        <v/>
      </c>
      <c r="M101" s="9">
        <f>IF($P101="","",IFERROR(IF(INDEX('対応履歴'!$H$5:$H$304,MATCH($P101,'対応履歴'!$J$5:$J$304,0))="","",INDEX('対応履歴'!$H$5:$H$304,MATCH($P101,'対応履歴'!$J$5:$J$304,0))),""))</f>
        <v/>
      </c>
      <c r="N101" s="10">
        <f>IF($A101="","",IF($K101=0,"対応履歴なし",IF($M101="",IF($L101="","次回予定なし","期日未定"),IF($M101&lt;'次回アクション'!$B$2,"期日超過 "&amp;('次回アクション'!$B$2-$M101)&amp;"日",IF($M101='次回アクション'!$B$2,"今日","あと"&amp;($M101-'次回アクション'!$B$2)&amp;"日")))))</f>
        <v/>
      </c>
      <c r="O101" s="12">
        <f>IF($P101="","",IF($M101&lt;&gt;"",$M101+ROW()/100000,IF($L101&lt;&gt;"",100000+ROW()/100000,"")))</f>
        <v/>
      </c>
      <c r="P101" s="12">
        <f>IF(OR($A101="",$K101=0),"",_xlfn.MAXIFS('対応履歴'!$J$5:$J$304,'対応履歴'!$B$5:$B$304,$A101))</f>
        <v/>
      </c>
    </row>
    <row r="102">
      <c r="A102" s="7" t="n"/>
      <c r="B102" s="7" t="n"/>
      <c r="C102" s="8" t="n"/>
      <c r="D102" s="8" t="n"/>
      <c r="E102" s="8" t="n"/>
      <c r="F102" s="8" t="n"/>
      <c r="G102" s="7" t="n"/>
      <c r="H102" s="7" t="n"/>
      <c r="I102" s="8" t="n"/>
      <c r="J102" s="9">
        <f>IF($A102="","",IF($K102=0,"",_xlfn.MAXIFS('対応履歴'!$A$5:$A$304,'対応履歴'!$B$5:$B$304,$A102)))</f>
        <v/>
      </c>
      <c r="K102" s="10">
        <f>IF($A102="","",COUNTIF('対応履歴'!$B$5:$B$304,$A102))</f>
        <v/>
      </c>
      <c r="L102" s="11">
        <f>IF($P102="","",IFERROR(INDEX('対応履歴'!$G$5:$G$304,MATCH($P102,'対応履歴'!$J$5:$J$304,0))&amp;"",""))</f>
        <v/>
      </c>
      <c r="M102" s="9">
        <f>IF($P102="","",IFERROR(IF(INDEX('対応履歴'!$H$5:$H$304,MATCH($P102,'対応履歴'!$J$5:$J$304,0))="","",INDEX('対応履歴'!$H$5:$H$304,MATCH($P102,'対応履歴'!$J$5:$J$304,0))),""))</f>
        <v/>
      </c>
      <c r="N102" s="10">
        <f>IF($A102="","",IF($K102=0,"対応履歴なし",IF($M102="",IF($L102="","次回予定なし","期日未定"),IF($M102&lt;'次回アクション'!$B$2,"期日超過 "&amp;('次回アクション'!$B$2-$M102)&amp;"日",IF($M102='次回アクション'!$B$2,"今日","あと"&amp;($M102-'次回アクション'!$B$2)&amp;"日")))))</f>
        <v/>
      </c>
      <c r="O102" s="12">
        <f>IF($P102="","",IF($M102&lt;&gt;"",$M102+ROW()/100000,IF($L102&lt;&gt;"",100000+ROW()/100000,"")))</f>
        <v/>
      </c>
      <c r="P102" s="12">
        <f>IF(OR($A102="",$K102=0),"",_xlfn.MAXIFS('対応履歴'!$J$5:$J$304,'対応履歴'!$B$5:$B$304,$A102))</f>
        <v/>
      </c>
    </row>
    <row r="103">
      <c r="A103" s="7" t="n"/>
      <c r="B103" s="7" t="n"/>
      <c r="C103" s="8" t="n"/>
      <c r="D103" s="8" t="n"/>
      <c r="E103" s="8" t="n"/>
      <c r="F103" s="8" t="n"/>
      <c r="G103" s="7" t="n"/>
      <c r="H103" s="7" t="n"/>
      <c r="I103" s="8" t="n"/>
      <c r="J103" s="9">
        <f>IF($A103="","",IF($K103=0,"",_xlfn.MAXIFS('対応履歴'!$A$5:$A$304,'対応履歴'!$B$5:$B$304,$A103)))</f>
        <v/>
      </c>
      <c r="K103" s="10">
        <f>IF($A103="","",COUNTIF('対応履歴'!$B$5:$B$304,$A103))</f>
        <v/>
      </c>
      <c r="L103" s="11">
        <f>IF($P103="","",IFERROR(INDEX('対応履歴'!$G$5:$G$304,MATCH($P103,'対応履歴'!$J$5:$J$304,0))&amp;"",""))</f>
        <v/>
      </c>
      <c r="M103" s="9">
        <f>IF($P103="","",IFERROR(IF(INDEX('対応履歴'!$H$5:$H$304,MATCH($P103,'対応履歴'!$J$5:$J$304,0))="","",INDEX('対応履歴'!$H$5:$H$304,MATCH($P103,'対応履歴'!$J$5:$J$304,0))),""))</f>
        <v/>
      </c>
      <c r="N103" s="10">
        <f>IF($A103="","",IF($K103=0,"対応履歴なし",IF($M103="",IF($L103="","次回予定なし","期日未定"),IF($M103&lt;'次回アクション'!$B$2,"期日超過 "&amp;('次回アクション'!$B$2-$M103)&amp;"日",IF($M103='次回アクション'!$B$2,"今日","あと"&amp;($M103-'次回アクション'!$B$2)&amp;"日")))))</f>
        <v/>
      </c>
      <c r="O103" s="12">
        <f>IF($P103="","",IF($M103&lt;&gt;"",$M103+ROW()/100000,IF($L103&lt;&gt;"",100000+ROW()/100000,"")))</f>
        <v/>
      </c>
      <c r="P103" s="12">
        <f>IF(OR($A103="",$K103=0),"",_xlfn.MAXIFS('対応履歴'!$J$5:$J$304,'対応履歴'!$B$5:$B$304,$A103))</f>
        <v/>
      </c>
    </row>
    <row r="104">
      <c r="A104" s="7" t="n"/>
      <c r="B104" s="7" t="n"/>
      <c r="C104" s="8" t="n"/>
      <c r="D104" s="8" t="n"/>
      <c r="E104" s="8" t="n"/>
      <c r="F104" s="8" t="n"/>
      <c r="G104" s="7" t="n"/>
      <c r="H104" s="7" t="n"/>
      <c r="I104" s="8" t="n"/>
      <c r="J104" s="9">
        <f>IF($A104="","",IF($K104=0,"",_xlfn.MAXIFS('対応履歴'!$A$5:$A$304,'対応履歴'!$B$5:$B$304,$A104)))</f>
        <v/>
      </c>
      <c r="K104" s="10">
        <f>IF($A104="","",COUNTIF('対応履歴'!$B$5:$B$304,$A104))</f>
        <v/>
      </c>
      <c r="L104" s="11">
        <f>IF($P104="","",IFERROR(INDEX('対応履歴'!$G$5:$G$304,MATCH($P104,'対応履歴'!$J$5:$J$304,0))&amp;"",""))</f>
        <v/>
      </c>
      <c r="M104" s="9">
        <f>IF($P104="","",IFERROR(IF(INDEX('対応履歴'!$H$5:$H$304,MATCH($P104,'対応履歴'!$J$5:$J$304,0))="","",INDEX('対応履歴'!$H$5:$H$304,MATCH($P104,'対応履歴'!$J$5:$J$304,0))),""))</f>
        <v/>
      </c>
      <c r="N104" s="10">
        <f>IF($A104="","",IF($K104=0,"対応履歴なし",IF($M104="",IF($L104="","次回予定なし","期日未定"),IF($M104&lt;'次回アクション'!$B$2,"期日超過 "&amp;('次回アクション'!$B$2-$M104)&amp;"日",IF($M104='次回アクション'!$B$2,"今日","あと"&amp;($M104-'次回アクション'!$B$2)&amp;"日")))))</f>
        <v/>
      </c>
      <c r="O104" s="12">
        <f>IF($P104="","",IF($M104&lt;&gt;"",$M104+ROW()/100000,IF($L104&lt;&gt;"",100000+ROW()/100000,"")))</f>
        <v/>
      </c>
      <c r="P104" s="12">
        <f>IF(OR($A104="",$K104=0),"",_xlfn.MAXIFS('対応履歴'!$J$5:$J$304,'対応履歴'!$B$5:$B$304,$A104))</f>
        <v/>
      </c>
    </row>
  </sheetData>
  <autoFilter ref="A4:P104"/>
  <mergeCells count="4">
    <mergeCell ref="O3:P3"/>
    <mergeCell ref="A2:N2"/>
    <mergeCell ref="J3:N3"/>
    <mergeCell ref="A1:N1"/>
  </mergeCells>
  <conditionalFormatting sqref="N5:N104">
    <cfRule type="expression" priority="1" dxfId="0">
      <formula>LEFT($N5,4)="期日超過"</formula>
    </cfRule>
  </conditionalFormatting>
  <dataValidations count="2">
    <dataValidation sqref="B5:B104" showDropDown="0" showInputMessage="0" showErrorMessage="1" allowBlank="1" errorTitle="選択してください" error="一覧から選んでください" type="list">
      <formula1>"法人,個人"</formula1>
    </dataValidation>
    <dataValidation sqref="H5:H104" showDropDown="0" showInputMessage="0" showErrorMessage="1" allowBlank="1" errorTitle="選択してください" error="A・B・C・D・取引中 から選んでください（使い方シートに付け方があります）" type="list">
      <formula1>"A,B,C,D,取引中"</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1B3A5C"/>
    <outlinePr summaryBelow="1" summaryRight="1"/>
    <pageSetUpPr fitToPage="1"/>
  </sheetPr>
  <dimension ref="A1:K304"/>
  <sheetViews>
    <sheetView showGridLines="0" workbookViewId="0">
      <pane ySplit="4" topLeftCell="A5" activePane="bottomLeft" state="frozen"/>
      <selection pane="bottomLeft" activeCell="A1" sqref="A1"/>
    </sheetView>
  </sheetViews>
  <sheetFormatPr baseColWidth="8" defaultRowHeight="15"/>
  <cols>
    <col width="11" customWidth="1" min="1" max="1"/>
    <col width="9" customWidth="1" min="2" max="2"/>
    <col width="24" customWidth="1" min="3" max="3"/>
    <col width="9" customWidth="1" min="4" max="4"/>
    <col width="10" customWidth="1" min="5" max="5"/>
    <col width="48" customWidth="1" min="6" max="6"/>
    <col width="28" customWidth="1" min="7" max="7"/>
    <col width="11" customWidth="1" min="8" max="8"/>
    <col width="3" customWidth="1" min="9" max="9"/>
    <col width="10" customWidth="1" min="10" max="10"/>
    <col width="10" customWidth="1" min="11" max="11"/>
  </cols>
  <sheetData>
    <row r="1" ht="24" customHeight="1">
      <c r="A1" s="30" t="inlineStr">
        <is>
          <t>対応履歴（1行=1回の対応。新しい対応は空いている次の行に）</t>
        </is>
      </c>
      <c r="B1" s="31" t="n"/>
      <c r="C1" s="31" t="n"/>
      <c r="D1" s="31" t="n"/>
      <c r="E1" s="31" t="n"/>
      <c r="F1" s="31" t="n"/>
      <c r="G1" s="31" t="n"/>
      <c r="H1" s="31" t="n"/>
      <c r="I1" s="31" t="n"/>
      <c r="J1" s="31" t="n"/>
      <c r="K1" s="31" t="n"/>
    </row>
    <row r="2" ht="26" customHeight="1">
      <c r="A2" s="32" t="inlineStr">
        <is>
          <t>顧客IDは「顧客一覧」に登録したものから選びます。同じ日に2回書いたときは、下の行を新しい対応として数えます。次にやることが無いときは、次回アクションと期日を空にします。</t>
        </is>
      </c>
      <c r="B2" s="31" t="n"/>
      <c r="C2" s="31" t="n"/>
      <c r="D2" s="31" t="n"/>
      <c r="E2" s="31" t="n"/>
      <c r="F2" s="31" t="n"/>
      <c r="G2" s="31" t="n"/>
      <c r="H2" s="31" t="n"/>
      <c r="I2" s="31" t="n"/>
      <c r="J2" s="31" t="n"/>
      <c r="K2" s="31" t="n"/>
    </row>
    <row r="3" ht="15" customHeight="1">
      <c r="A3" s="31" t="n"/>
      <c r="B3" s="31" t="n"/>
      <c r="C3" s="31" t="n"/>
      <c r="D3" s="31" t="n"/>
      <c r="E3" s="31" t="n"/>
      <c r="F3" s="31" t="n"/>
      <c r="G3" s="31" t="n"/>
      <c r="H3" s="31" t="n"/>
      <c r="I3" s="31" t="n"/>
      <c r="J3" s="32" t="inlineStr">
        <is>
          <t>▼ 作業列</t>
        </is>
      </c>
      <c r="K3" s="31" t="n"/>
    </row>
    <row r="4" ht="30" customHeight="1">
      <c r="A4" s="4" t="inlineStr">
        <is>
          <t>日付</t>
        </is>
      </c>
      <c r="B4" s="4" t="inlineStr">
        <is>
          <t>顧客ID</t>
        </is>
      </c>
      <c r="C4" s="4" t="inlineStr">
        <is>
          <t>顧客名</t>
        </is>
      </c>
      <c r="D4" s="4" t="inlineStr">
        <is>
          <t>自社担当</t>
        </is>
      </c>
      <c r="E4" s="4" t="inlineStr">
        <is>
          <t>手段</t>
        </is>
      </c>
      <c r="F4" s="4" t="inlineStr">
        <is>
          <t>内容（何を聞いた・話した・決めた）</t>
        </is>
      </c>
      <c r="G4" s="4" t="inlineStr">
        <is>
          <t>次回アクション</t>
        </is>
      </c>
      <c r="H4" s="4" t="inlineStr">
        <is>
          <t>期日</t>
        </is>
      </c>
      <c r="I4" s="31" t="n"/>
      <c r="J4" s="6" t="inlineStr">
        <is>
          <t>行キー</t>
        </is>
      </c>
      <c r="K4" s="6" t="inlineStr">
        <is>
          <t>カルテ用</t>
        </is>
      </c>
    </row>
    <row r="5" ht="30" customHeight="1">
      <c r="A5" s="13" t="n"/>
      <c r="B5" s="7" t="n"/>
      <c r="C5" s="11">
        <f>IF($B5="","",IFERROR(INDEX('顧客一覧'!$C$5:$C$104,MATCH($B5,'顧客一覧'!$A$5:$A$104,0))&amp;"","※顧客一覧にないID"))</f>
        <v/>
      </c>
      <c r="D5" s="7" t="n"/>
      <c r="E5" s="7" t="n"/>
      <c r="F5" s="14" t="n"/>
      <c r="G5" s="14" t="n"/>
      <c r="H5" s="13" t="n"/>
      <c r="I5" s="31" t="n"/>
      <c r="J5" s="12">
        <f>IF(ISNUMBER($A5),$A5+ROW()/100000,"")</f>
        <v/>
      </c>
      <c r="K5" s="12">
        <f>IF(AND(ISNUMBER($J5),$B5&lt;&gt;"",$B5='顧客カルテ'!$C$3),$J5,"")</f>
        <v/>
      </c>
    </row>
    <row r="6" ht="30" customHeight="1">
      <c r="A6" s="13" t="n"/>
      <c r="B6" s="7" t="n"/>
      <c r="C6" s="11">
        <f>IF($B6="","",IFERROR(INDEX('顧客一覧'!$C$5:$C$104,MATCH($B6,'顧客一覧'!$A$5:$A$104,0))&amp;"","※顧客一覧にないID"))</f>
        <v/>
      </c>
      <c r="D6" s="7" t="n"/>
      <c r="E6" s="7" t="n"/>
      <c r="F6" s="14" t="n"/>
      <c r="G6" s="14" t="n"/>
      <c r="H6" s="13" t="n"/>
      <c r="I6" s="31" t="n"/>
      <c r="J6" s="12">
        <f>IF(ISNUMBER($A6),$A6+ROW()/100000,"")</f>
        <v/>
      </c>
      <c r="K6" s="12">
        <f>IF(AND(ISNUMBER($J6),$B6&lt;&gt;"",$B6='顧客カルテ'!$C$3),$J6,"")</f>
        <v/>
      </c>
    </row>
    <row r="7" ht="30" customHeight="1">
      <c r="A7" s="13" t="n"/>
      <c r="B7" s="7" t="n"/>
      <c r="C7" s="11">
        <f>IF($B7="","",IFERROR(INDEX('顧客一覧'!$C$5:$C$104,MATCH($B7,'顧客一覧'!$A$5:$A$104,0))&amp;"","※顧客一覧にないID"))</f>
        <v/>
      </c>
      <c r="D7" s="7" t="n"/>
      <c r="E7" s="7" t="n"/>
      <c r="F7" s="14" t="n"/>
      <c r="G7" s="14" t="n"/>
      <c r="H7" s="13" t="n"/>
      <c r="I7" s="31" t="n"/>
      <c r="J7" s="12">
        <f>IF(ISNUMBER($A7),$A7+ROW()/100000,"")</f>
        <v/>
      </c>
      <c r="K7" s="12">
        <f>IF(AND(ISNUMBER($J7),$B7&lt;&gt;"",$B7='顧客カルテ'!$C$3),$J7,"")</f>
        <v/>
      </c>
    </row>
    <row r="8" ht="30" customHeight="1">
      <c r="A8" s="13" t="n"/>
      <c r="B8" s="7" t="n"/>
      <c r="C8" s="11">
        <f>IF($B8="","",IFERROR(INDEX('顧客一覧'!$C$5:$C$104,MATCH($B8,'顧客一覧'!$A$5:$A$104,0))&amp;"","※顧客一覧にないID"))</f>
        <v/>
      </c>
      <c r="D8" s="7" t="n"/>
      <c r="E8" s="7" t="n"/>
      <c r="F8" s="14" t="n"/>
      <c r="G8" s="14" t="n"/>
      <c r="H8" s="13" t="n"/>
      <c r="I8" s="31" t="n"/>
      <c r="J8" s="12">
        <f>IF(ISNUMBER($A8),$A8+ROW()/100000,"")</f>
        <v/>
      </c>
      <c r="K8" s="12">
        <f>IF(AND(ISNUMBER($J8),$B8&lt;&gt;"",$B8='顧客カルテ'!$C$3),$J8,"")</f>
        <v/>
      </c>
    </row>
    <row r="9" ht="30" customHeight="1">
      <c r="A9" s="13" t="n"/>
      <c r="B9" s="7" t="n"/>
      <c r="C9" s="11">
        <f>IF($B9="","",IFERROR(INDEX('顧客一覧'!$C$5:$C$104,MATCH($B9,'顧客一覧'!$A$5:$A$104,0))&amp;"","※顧客一覧にないID"))</f>
        <v/>
      </c>
      <c r="D9" s="7" t="n"/>
      <c r="E9" s="7" t="n"/>
      <c r="F9" s="14" t="n"/>
      <c r="G9" s="14" t="n"/>
      <c r="H9" s="13" t="n"/>
      <c r="I9" s="31" t="n"/>
      <c r="J9" s="12">
        <f>IF(ISNUMBER($A9),$A9+ROW()/100000,"")</f>
        <v/>
      </c>
      <c r="K9" s="12">
        <f>IF(AND(ISNUMBER($J9),$B9&lt;&gt;"",$B9='顧客カルテ'!$C$3),$J9,"")</f>
        <v/>
      </c>
    </row>
    <row r="10" ht="30" customHeight="1">
      <c r="A10" s="13" t="n"/>
      <c r="B10" s="7" t="n"/>
      <c r="C10" s="11">
        <f>IF($B10="","",IFERROR(INDEX('顧客一覧'!$C$5:$C$104,MATCH($B10,'顧客一覧'!$A$5:$A$104,0))&amp;"","※顧客一覧にないID"))</f>
        <v/>
      </c>
      <c r="D10" s="7" t="n"/>
      <c r="E10" s="7" t="n"/>
      <c r="F10" s="14" t="n"/>
      <c r="G10" s="14" t="n"/>
      <c r="H10" s="13" t="n"/>
      <c r="I10" s="31" t="n"/>
      <c r="J10" s="12">
        <f>IF(ISNUMBER($A10),$A10+ROW()/100000,"")</f>
        <v/>
      </c>
      <c r="K10" s="12">
        <f>IF(AND(ISNUMBER($J10),$B10&lt;&gt;"",$B10='顧客カルテ'!$C$3),$J10,"")</f>
        <v/>
      </c>
    </row>
    <row r="11" ht="30" customHeight="1">
      <c r="A11" s="13" t="n"/>
      <c r="B11" s="7" t="n"/>
      <c r="C11" s="11">
        <f>IF($B11="","",IFERROR(INDEX('顧客一覧'!$C$5:$C$104,MATCH($B11,'顧客一覧'!$A$5:$A$104,0))&amp;"","※顧客一覧にないID"))</f>
        <v/>
      </c>
      <c r="D11" s="7" t="n"/>
      <c r="E11" s="7" t="n"/>
      <c r="F11" s="14" t="n"/>
      <c r="G11" s="14" t="n"/>
      <c r="H11" s="13" t="n"/>
      <c r="I11" s="31" t="n"/>
      <c r="J11" s="12">
        <f>IF(ISNUMBER($A11),$A11+ROW()/100000,"")</f>
        <v/>
      </c>
      <c r="K11" s="12">
        <f>IF(AND(ISNUMBER($J11),$B11&lt;&gt;"",$B11='顧客カルテ'!$C$3),$J11,"")</f>
        <v/>
      </c>
    </row>
    <row r="12" ht="30" customHeight="1">
      <c r="A12" s="13" t="n"/>
      <c r="B12" s="7" t="n"/>
      <c r="C12" s="11">
        <f>IF($B12="","",IFERROR(INDEX('顧客一覧'!$C$5:$C$104,MATCH($B12,'顧客一覧'!$A$5:$A$104,0))&amp;"","※顧客一覧にないID"))</f>
        <v/>
      </c>
      <c r="D12" s="7" t="n"/>
      <c r="E12" s="7" t="n"/>
      <c r="F12" s="14" t="n"/>
      <c r="G12" s="14" t="n"/>
      <c r="H12" s="13" t="n"/>
      <c r="I12" s="31" t="n"/>
      <c r="J12" s="12">
        <f>IF(ISNUMBER($A12),$A12+ROW()/100000,"")</f>
        <v/>
      </c>
      <c r="K12" s="12">
        <f>IF(AND(ISNUMBER($J12),$B12&lt;&gt;"",$B12='顧客カルテ'!$C$3),$J12,"")</f>
        <v/>
      </c>
    </row>
    <row r="13" ht="30" customHeight="1">
      <c r="A13" s="13" t="n"/>
      <c r="B13" s="7" t="n"/>
      <c r="C13" s="11">
        <f>IF($B13="","",IFERROR(INDEX('顧客一覧'!$C$5:$C$104,MATCH($B13,'顧客一覧'!$A$5:$A$104,0))&amp;"","※顧客一覧にないID"))</f>
        <v/>
      </c>
      <c r="D13" s="7" t="n"/>
      <c r="E13" s="7" t="n"/>
      <c r="F13" s="14" t="n"/>
      <c r="G13" s="14" t="n"/>
      <c r="H13" s="13" t="n"/>
      <c r="I13" s="31" t="n"/>
      <c r="J13" s="12">
        <f>IF(ISNUMBER($A13),$A13+ROW()/100000,"")</f>
        <v/>
      </c>
      <c r="K13" s="12">
        <f>IF(AND(ISNUMBER($J13),$B13&lt;&gt;"",$B13='顧客カルテ'!$C$3),$J13,"")</f>
        <v/>
      </c>
    </row>
    <row r="14" ht="30" customHeight="1">
      <c r="A14" s="13" t="n"/>
      <c r="B14" s="7" t="n"/>
      <c r="C14" s="11">
        <f>IF($B14="","",IFERROR(INDEX('顧客一覧'!$C$5:$C$104,MATCH($B14,'顧客一覧'!$A$5:$A$104,0))&amp;"","※顧客一覧にないID"))</f>
        <v/>
      </c>
      <c r="D14" s="7" t="n"/>
      <c r="E14" s="7" t="n"/>
      <c r="F14" s="14" t="n"/>
      <c r="G14" s="14" t="n"/>
      <c r="H14" s="13" t="n"/>
      <c r="I14" s="31" t="n"/>
      <c r="J14" s="12">
        <f>IF(ISNUMBER($A14),$A14+ROW()/100000,"")</f>
        <v/>
      </c>
      <c r="K14" s="12">
        <f>IF(AND(ISNUMBER($J14),$B14&lt;&gt;"",$B14='顧客カルテ'!$C$3),$J14,"")</f>
        <v/>
      </c>
    </row>
    <row r="15" ht="30" customHeight="1">
      <c r="A15" s="13" t="n"/>
      <c r="B15" s="7" t="n"/>
      <c r="C15" s="11">
        <f>IF($B15="","",IFERROR(INDEX('顧客一覧'!$C$5:$C$104,MATCH($B15,'顧客一覧'!$A$5:$A$104,0))&amp;"","※顧客一覧にないID"))</f>
        <v/>
      </c>
      <c r="D15" s="7" t="n"/>
      <c r="E15" s="7" t="n"/>
      <c r="F15" s="14" t="n"/>
      <c r="G15" s="14" t="n"/>
      <c r="H15" s="13" t="n"/>
      <c r="I15" s="31" t="n"/>
      <c r="J15" s="12">
        <f>IF(ISNUMBER($A15),$A15+ROW()/100000,"")</f>
        <v/>
      </c>
      <c r="K15" s="12">
        <f>IF(AND(ISNUMBER($J15),$B15&lt;&gt;"",$B15='顧客カルテ'!$C$3),$J15,"")</f>
        <v/>
      </c>
    </row>
    <row r="16" ht="30" customHeight="1">
      <c r="A16" s="13" t="n"/>
      <c r="B16" s="7" t="n"/>
      <c r="C16" s="11">
        <f>IF($B16="","",IFERROR(INDEX('顧客一覧'!$C$5:$C$104,MATCH($B16,'顧客一覧'!$A$5:$A$104,0))&amp;"","※顧客一覧にないID"))</f>
        <v/>
      </c>
      <c r="D16" s="7" t="n"/>
      <c r="E16" s="7" t="n"/>
      <c r="F16" s="14" t="n"/>
      <c r="G16" s="14" t="n"/>
      <c r="H16" s="13" t="n"/>
      <c r="I16" s="31" t="n"/>
      <c r="J16" s="12">
        <f>IF(ISNUMBER($A16),$A16+ROW()/100000,"")</f>
        <v/>
      </c>
      <c r="K16" s="12">
        <f>IF(AND(ISNUMBER($J16),$B16&lt;&gt;"",$B16='顧客カルテ'!$C$3),$J16,"")</f>
        <v/>
      </c>
    </row>
    <row r="17" ht="30" customHeight="1">
      <c r="A17" s="13" t="n"/>
      <c r="B17" s="7" t="n"/>
      <c r="C17" s="11">
        <f>IF($B17="","",IFERROR(INDEX('顧客一覧'!$C$5:$C$104,MATCH($B17,'顧客一覧'!$A$5:$A$104,0))&amp;"","※顧客一覧にないID"))</f>
        <v/>
      </c>
      <c r="D17" s="7" t="n"/>
      <c r="E17" s="7" t="n"/>
      <c r="F17" s="14" t="n"/>
      <c r="G17" s="14" t="n"/>
      <c r="H17" s="13" t="n"/>
      <c r="I17" s="31" t="n"/>
      <c r="J17" s="12">
        <f>IF(ISNUMBER($A17),$A17+ROW()/100000,"")</f>
        <v/>
      </c>
      <c r="K17" s="12">
        <f>IF(AND(ISNUMBER($J17),$B17&lt;&gt;"",$B17='顧客カルテ'!$C$3),$J17,"")</f>
        <v/>
      </c>
    </row>
    <row r="18" ht="30" customHeight="1">
      <c r="A18" s="13" t="n"/>
      <c r="B18" s="7" t="n"/>
      <c r="C18" s="11">
        <f>IF($B18="","",IFERROR(INDEX('顧客一覧'!$C$5:$C$104,MATCH($B18,'顧客一覧'!$A$5:$A$104,0))&amp;"","※顧客一覧にないID"))</f>
        <v/>
      </c>
      <c r="D18" s="7" t="n"/>
      <c r="E18" s="7" t="n"/>
      <c r="F18" s="14" t="n"/>
      <c r="G18" s="14" t="n"/>
      <c r="H18" s="13" t="n"/>
      <c r="I18" s="31" t="n"/>
      <c r="J18" s="12">
        <f>IF(ISNUMBER($A18),$A18+ROW()/100000,"")</f>
        <v/>
      </c>
      <c r="K18" s="12">
        <f>IF(AND(ISNUMBER($J18),$B18&lt;&gt;"",$B18='顧客カルテ'!$C$3),$J18,"")</f>
        <v/>
      </c>
    </row>
    <row r="19" ht="30" customHeight="1">
      <c r="A19" s="13" t="n"/>
      <c r="B19" s="7" t="n"/>
      <c r="C19" s="11">
        <f>IF($B19="","",IFERROR(INDEX('顧客一覧'!$C$5:$C$104,MATCH($B19,'顧客一覧'!$A$5:$A$104,0))&amp;"","※顧客一覧にないID"))</f>
        <v/>
      </c>
      <c r="D19" s="7" t="n"/>
      <c r="E19" s="7" t="n"/>
      <c r="F19" s="14" t="n"/>
      <c r="G19" s="14" t="n"/>
      <c r="H19" s="13" t="n"/>
      <c r="I19" s="31" t="n"/>
      <c r="J19" s="12">
        <f>IF(ISNUMBER($A19),$A19+ROW()/100000,"")</f>
        <v/>
      </c>
      <c r="K19" s="12">
        <f>IF(AND(ISNUMBER($J19),$B19&lt;&gt;"",$B19='顧客カルテ'!$C$3),$J19,"")</f>
        <v/>
      </c>
    </row>
    <row r="20" ht="30" customHeight="1">
      <c r="A20" s="13" t="n"/>
      <c r="B20" s="7" t="n"/>
      <c r="C20" s="11">
        <f>IF($B20="","",IFERROR(INDEX('顧客一覧'!$C$5:$C$104,MATCH($B20,'顧客一覧'!$A$5:$A$104,0))&amp;"","※顧客一覧にないID"))</f>
        <v/>
      </c>
      <c r="D20" s="7" t="n"/>
      <c r="E20" s="7" t="n"/>
      <c r="F20" s="14" t="n"/>
      <c r="G20" s="14" t="n"/>
      <c r="H20" s="13" t="n"/>
      <c r="I20" s="31" t="n"/>
      <c r="J20" s="12">
        <f>IF(ISNUMBER($A20),$A20+ROW()/100000,"")</f>
        <v/>
      </c>
      <c r="K20" s="12">
        <f>IF(AND(ISNUMBER($J20),$B20&lt;&gt;"",$B20='顧客カルテ'!$C$3),$J20,"")</f>
        <v/>
      </c>
    </row>
    <row r="21" ht="30" customHeight="1">
      <c r="A21" s="13" t="n"/>
      <c r="B21" s="7" t="n"/>
      <c r="C21" s="11">
        <f>IF($B21="","",IFERROR(INDEX('顧客一覧'!$C$5:$C$104,MATCH($B21,'顧客一覧'!$A$5:$A$104,0))&amp;"","※顧客一覧にないID"))</f>
        <v/>
      </c>
      <c r="D21" s="7" t="n"/>
      <c r="E21" s="7" t="n"/>
      <c r="F21" s="14" t="n"/>
      <c r="G21" s="14" t="n"/>
      <c r="H21" s="13" t="n"/>
      <c r="I21" s="31" t="n"/>
      <c r="J21" s="12">
        <f>IF(ISNUMBER($A21),$A21+ROW()/100000,"")</f>
        <v/>
      </c>
      <c r="K21" s="12">
        <f>IF(AND(ISNUMBER($J21),$B21&lt;&gt;"",$B21='顧客カルテ'!$C$3),$J21,"")</f>
        <v/>
      </c>
    </row>
    <row r="22" ht="30" customHeight="1">
      <c r="A22" s="13" t="n"/>
      <c r="B22" s="7" t="n"/>
      <c r="C22" s="11">
        <f>IF($B22="","",IFERROR(INDEX('顧客一覧'!$C$5:$C$104,MATCH($B22,'顧客一覧'!$A$5:$A$104,0))&amp;"","※顧客一覧にないID"))</f>
        <v/>
      </c>
      <c r="D22" s="7" t="n"/>
      <c r="E22" s="7" t="n"/>
      <c r="F22" s="14" t="n"/>
      <c r="G22" s="14" t="n"/>
      <c r="H22" s="13" t="n"/>
      <c r="I22" s="31" t="n"/>
      <c r="J22" s="12">
        <f>IF(ISNUMBER($A22),$A22+ROW()/100000,"")</f>
        <v/>
      </c>
      <c r="K22" s="12">
        <f>IF(AND(ISNUMBER($J22),$B22&lt;&gt;"",$B22='顧客カルテ'!$C$3),$J22,"")</f>
        <v/>
      </c>
    </row>
    <row r="23" ht="30" customHeight="1">
      <c r="A23" s="13" t="n"/>
      <c r="B23" s="7" t="n"/>
      <c r="C23" s="11">
        <f>IF($B23="","",IFERROR(INDEX('顧客一覧'!$C$5:$C$104,MATCH($B23,'顧客一覧'!$A$5:$A$104,0))&amp;"","※顧客一覧にないID"))</f>
        <v/>
      </c>
      <c r="D23" s="7" t="n"/>
      <c r="E23" s="7" t="n"/>
      <c r="F23" s="14" t="n"/>
      <c r="G23" s="14" t="n"/>
      <c r="H23" s="13" t="n"/>
      <c r="I23" s="31" t="n"/>
      <c r="J23" s="12">
        <f>IF(ISNUMBER($A23),$A23+ROW()/100000,"")</f>
        <v/>
      </c>
      <c r="K23" s="12">
        <f>IF(AND(ISNUMBER($J23),$B23&lt;&gt;"",$B23='顧客カルテ'!$C$3),$J23,"")</f>
        <v/>
      </c>
    </row>
    <row r="24" ht="30" customHeight="1">
      <c r="A24" s="13" t="n"/>
      <c r="B24" s="7" t="n"/>
      <c r="C24" s="11">
        <f>IF($B24="","",IFERROR(INDEX('顧客一覧'!$C$5:$C$104,MATCH($B24,'顧客一覧'!$A$5:$A$104,0))&amp;"","※顧客一覧にないID"))</f>
        <v/>
      </c>
      <c r="D24" s="7" t="n"/>
      <c r="E24" s="7" t="n"/>
      <c r="F24" s="14" t="n"/>
      <c r="G24" s="14" t="n"/>
      <c r="H24" s="13" t="n"/>
      <c r="I24" s="31" t="n"/>
      <c r="J24" s="12">
        <f>IF(ISNUMBER($A24),$A24+ROW()/100000,"")</f>
        <v/>
      </c>
      <c r="K24" s="12">
        <f>IF(AND(ISNUMBER($J24),$B24&lt;&gt;"",$B24='顧客カルテ'!$C$3),$J24,"")</f>
        <v/>
      </c>
    </row>
    <row r="25" ht="30" customHeight="1">
      <c r="A25" s="13" t="n"/>
      <c r="B25" s="7" t="n"/>
      <c r="C25" s="11">
        <f>IF($B25="","",IFERROR(INDEX('顧客一覧'!$C$5:$C$104,MATCH($B25,'顧客一覧'!$A$5:$A$104,0))&amp;"","※顧客一覧にないID"))</f>
        <v/>
      </c>
      <c r="D25" s="7" t="n"/>
      <c r="E25" s="7" t="n"/>
      <c r="F25" s="14" t="n"/>
      <c r="G25" s="14" t="n"/>
      <c r="H25" s="13" t="n"/>
      <c r="I25" s="31" t="n"/>
      <c r="J25" s="12">
        <f>IF(ISNUMBER($A25),$A25+ROW()/100000,"")</f>
        <v/>
      </c>
      <c r="K25" s="12">
        <f>IF(AND(ISNUMBER($J25),$B25&lt;&gt;"",$B25='顧客カルテ'!$C$3),$J25,"")</f>
        <v/>
      </c>
    </row>
    <row r="26" ht="30" customHeight="1">
      <c r="A26" s="13" t="n"/>
      <c r="B26" s="7" t="n"/>
      <c r="C26" s="11">
        <f>IF($B26="","",IFERROR(INDEX('顧客一覧'!$C$5:$C$104,MATCH($B26,'顧客一覧'!$A$5:$A$104,0))&amp;"","※顧客一覧にないID"))</f>
        <v/>
      </c>
      <c r="D26" s="7" t="n"/>
      <c r="E26" s="7" t="n"/>
      <c r="F26" s="14" t="n"/>
      <c r="G26" s="14" t="n"/>
      <c r="H26" s="13" t="n"/>
      <c r="I26" s="31" t="n"/>
      <c r="J26" s="12">
        <f>IF(ISNUMBER($A26),$A26+ROW()/100000,"")</f>
        <v/>
      </c>
      <c r="K26" s="12">
        <f>IF(AND(ISNUMBER($J26),$B26&lt;&gt;"",$B26='顧客カルテ'!$C$3),$J26,"")</f>
        <v/>
      </c>
    </row>
    <row r="27" ht="30" customHeight="1">
      <c r="A27" s="13" t="n"/>
      <c r="B27" s="7" t="n"/>
      <c r="C27" s="11">
        <f>IF($B27="","",IFERROR(INDEX('顧客一覧'!$C$5:$C$104,MATCH($B27,'顧客一覧'!$A$5:$A$104,0))&amp;"","※顧客一覧にないID"))</f>
        <v/>
      </c>
      <c r="D27" s="7" t="n"/>
      <c r="E27" s="7" t="n"/>
      <c r="F27" s="14" t="n"/>
      <c r="G27" s="14" t="n"/>
      <c r="H27" s="13" t="n"/>
      <c r="I27" s="31" t="n"/>
      <c r="J27" s="12">
        <f>IF(ISNUMBER($A27),$A27+ROW()/100000,"")</f>
        <v/>
      </c>
      <c r="K27" s="12">
        <f>IF(AND(ISNUMBER($J27),$B27&lt;&gt;"",$B27='顧客カルテ'!$C$3),$J27,"")</f>
        <v/>
      </c>
    </row>
    <row r="28" ht="30" customHeight="1">
      <c r="A28" s="13" t="n"/>
      <c r="B28" s="7" t="n"/>
      <c r="C28" s="11">
        <f>IF($B28="","",IFERROR(INDEX('顧客一覧'!$C$5:$C$104,MATCH($B28,'顧客一覧'!$A$5:$A$104,0))&amp;"","※顧客一覧にないID"))</f>
        <v/>
      </c>
      <c r="D28" s="7" t="n"/>
      <c r="E28" s="7" t="n"/>
      <c r="F28" s="14" t="n"/>
      <c r="G28" s="14" t="n"/>
      <c r="H28" s="13" t="n"/>
      <c r="I28" s="31" t="n"/>
      <c r="J28" s="12">
        <f>IF(ISNUMBER($A28),$A28+ROW()/100000,"")</f>
        <v/>
      </c>
      <c r="K28" s="12">
        <f>IF(AND(ISNUMBER($J28),$B28&lt;&gt;"",$B28='顧客カルテ'!$C$3),$J28,"")</f>
        <v/>
      </c>
    </row>
    <row r="29" ht="30" customHeight="1">
      <c r="A29" s="13" t="n"/>
      <c r="B29" s="7" t="n"/>
      <c r="C29" s="11">
        <f>IF($B29="","",IFERROR(INDEX('顧客一覧'!$C$5:$C$104,MATCH($B29,'顧客一覧'!$A$5:$A$104,0))&amp;"","※顧客一覧にないID"))</f>
        <v/>
      </c>
      <c r="D29" s="7" t="n"/>
      <c r="E29" s="7" t="n"/>
      <c r="F29" s="14" t="n"/>
      <c r="G29" s="14" t="n"/>
      <c r="H29" s="13" t="n"/>
      <c r="I29" s="31" t="n"/>
      <c r="J29" s="12">
        <f>IF(ISNUMBER($A29),$A29+ROW()/100000,"")</f>
        <v/>
      </c>
      <c r="K29" s="12">
        <f>IF(AND(ISNUMBER($J29),$B29&lt;&gt;"",$B29='顧客カルテ'!$C$3),$J29,"")</f>
        <v/>
      </c>
    </row>
    <row r="30" ht="30" customHeight="1">
      <c r="A30" s="13" t="n"/>
      <c r="B30" s="7" t="n"/>
      <c r="C30" s="11">
        <f>IF($B30="","",IFERROR(INDEX('顧客一覧'!$C$5:$C$104,MATCH($B30,'顧客一覧'!$A$5:$A$104,0))&amp;"","※顧客一覧にないID"))</f>
        <v/>
      </c>
      <c r="D30" s="7" t="n"/>
      <c r="E30" s="7" t="n"/>
      <c r="F30" s="14" t="n"/>
      <c r="G30" s="14" t="n"/>
      <c r="H30" s="13" t="n"/>
      <c r="I30" s="31" t="n"/>
      <c r="J30" s="12">
        <f>IF(ISNUMBER($A30),$A30+ROW()/100000,"")</f>
        <v/>
      </c>
      <c r="K30" s="12">
        <f>IF(AND(ISNUMBER($J30),$B30&lt;&gt;"",$B30='顧客カルテ'!$C$3),$J30,"")</f>
        <v/>
      </c>
    </row>
    <row r="31" ht="30" customHeight="1">
      <c r="A31" s="13" t="n"/>
      <c r="B31" s="7" t="n"/>
      <c r="C31" s="11">
        <f>IF($B31="","",IFERROR(INDEX('顧客一覧'!$C$5:$C$104,MATCH($B31,'顧客一覧'!$A$5:$A$104,0))&amp;"","※顧客一覧にないID"))</f>
        <v/>
      </c>
      <c r="D31" s="7" t="n"/>
      <c r="E31" s="7" t="n"/>
      <c r="F31" s="14" t="n"/>
      <c r="G31" s="14" t="n"/>
      <c r="H31" s="13" t="n"/>
      <c r="I31" s="31" t="n"/>
      <c r="J31" s="12">
        <f>IF(ISNUMBER($A31),$A31+ROW()/100000,"")</f>
        <v/>
      </c>
      <c r="K31" s="12">
        <f>IF(AND(ISNUMBER($J31),$B31&lt;&gt;"",$B31='顧客カルテ'!$C$3),$J31,"")</f>
        <v/>
      </c>
    </row>
    <row r="32" ht="30" customHeight="1">
      <c r="A32" s="13" t="n"/>
      <c r="B32" s="7" t="n"/>
      <c r="C32" s="11">
        <f>IF($B32="","",IFERROR(INDEX('顧客一覧'!$C$5:$C$104,MATCH($B32,'顧客一覧'!$A$5:$A$104,0))&amp;"","※顧客一覧にないID"))</f>
        <v/>
      </c>
      <c r="D32" s="7" t="n"/>
      <c r="E32" s="7" t="n"/>
      <c r="F32" s="14" t="n"/>
      <c r="G32" s="14" t="n"/>
      <c r="H32" s="13" t="n"/>
      <c r="I32" s="31" t="n"/>
      <c r="J32" s="12">
        <f>IF(ISNUMBER($A32),$A32+ROW()/100000,"")</f>
        <v/>
      </c>
      <c r="K32" s="12">
        <f>IF(AND(ISNUMBER($J32),$B32&lt;&gt;"",$B32='顧客カルテ'!$C$3),$J32,"")</f>
        <v/>
      </c>
    </row>
    <row r="33" ht="30" customHeight="1">
      <c r="A33" s="13" t="n"/>
      <c r="B33" s="7" t="n"/>
      <c r="C33" s="11">
        <f>IF($B33="","",IFERROR(INDEX('顧客一覧'!$C$5:$C$104,MATCH($B33,'顧客一覧'!$A$5:$A$104,0))&amp;"","※顧客一覧にないID"))</f>
        <v/>
      </c>
      <c r="D33" s="7" t="n"/>
      <c r="E33" s="7" t="n"/>
      <c r="F33" s="14" t="n"/>
      <c r="G33" s="14" t="n"/>
      <c r="H33" s="13" t="n"/>
      <c r="I33" s="31" t="n"/>
      <c r="J33" s="12">
        <f>IF(ISNUMBER($A33),$A33+ROW()/100000,"")</f>
        <v/>
      </c>
      <c r="K33" s="12">
        <f>IF(AND(ISNUMBER($J33),$B33&lt;&gt;"",$B33='顧客カルテ'!$C$3),$J33,"")</f>
        <v/>
      </c>
    </row>
    <row r="34" ht="30" customHeight="1">
      <c r="A34" s="13" t="n"/>
      <c r="B34" s="7" t="n"/>
      <c r="C34" s="11">
        <f>IF($B34="","",IFERROR(INDEX('顧客一覧'!$C$5:$C$104,MATCH($B34,'顧客一覧'!$A$5:$A$104,0))&amp;"","※顧客一覧にないID"))</f>
        <v/>
      </c>
      <c r="D34" s="7" t="n"/>
      <c r="E34" s="7" t="n"/>
      <c r="F34" s="14" t="n"/>
      <c r="G34" s="14" t="n"/>
      <c r="H34" s="13" t="n"/>
      <c r="I34" s="31" t="n"/>
      <c r="J34" s="12">
        <f>IF(ISNUMBER($A34),$A34+ROW()/100000,"")</f>
        <v/>
      </c>
      <c r="K34" s="12">
        <f>IF(AND(ISNUMBER($J34),$B34&lt;&gt;"",$B34='顧客カルテ'!$C$3),$J34,"")</f>
        <v/>
      </c>
    </row>
    <row r="35" ht="30" customHeight="1">
      <c r="A35" s="13" t="n"/>
      <c r="B35" s="7" t="n"/>
      <c r="C35" s="11">
        <f>IF($B35="","",IFERROR(INDEX('顧客一覧'!$C$5:$C$104,MATCH($B35,'顧客一覧'!$A$5:$A$104,0))&amp;"","※顧客一覧にないID"))</f>
        <v/>
      </c>
      <c r="D35" s="7" t="n"/>
      <c r="E35" s="7" t="n"/>
      <c r="F35" s="14" t="n"/>
      <c r="G35" s="14" t="n"/>
      <c r="H35" s="13" t="n"/>
      <c r="I35" s="31" t="n"/>
      <c r="J35" s="12">
        <f>IF(ISNUMBER($A35),$A35+ROW()/100000,"")</f>
        <v/>
      </c>
      <c r="K35" s="12">
        <f>IF(AND(ISNUMBER($J35),$B35&lt;&gt;"",$B35='顧客カルテ'!$C$3),$J35,"")</f>
        <v/>
      </c>
    </row>
    <row r="36" ht="30" customHeight="1">
      <c r="A36" s="13" t="n"/>
      <c r="B36" s="7" t="n"/>
      <c r="C36" s="11">
        <f>IF($B36="","",IFERROR(INDEX('顧客一覧'!$C$5:$C$104,MATCH($B36,'顧客一覧'!$A$5:$A$104,0))&amp;"","※顧客一覧にないID"))</f>
        <v/>
      </c>
      <c r="D36" s="7" t="n"/>
      <c r="E36" s="7" t="n"/>
      <c r="F36" s="14" t="n"/>
      <c r="G36" s="14" t="n"/>
      <c r="H36" s="13" t="n"/>
      <c r="I36" s="31" t="n"/>
      <c r="J36" s="12">
        <f>IF(ISNUMBER($A36),$A36+ROW()/100000,"")</f>
        <v/>
      </c>
      <c r="K36" s="12">
        <f>IF(AND(ISNUMBER($J36),$B36&lt;&gt;"",$B36='顧客カルテ'!$C$3),$J36,"")</f>
        <v/>
      </c>
    </row>
    <row r="37" ht="30" customHeight="1">
      <c r="A37" s="13" t="n"/>
      <c r="B37" s="7" t="n"/>
      <c r="C37" s="11">
        <f>IF($B37="","",IFERROR(INDEX('顧客一覧'!$C$5:$C$104,MATCH($B37,'顧客一覧'!$A$5:$A$104,0))&amp;"","※顧客一覧にないID"))</f>
        <v/>
      </c>
      <c r="D37" s="7" t="n"/>
      <c r="E37" s="7" t="n"/>
      <c r="F37" s="14" t="n"/>
      <c r="G37" s="14" t="n"/>
      <c r="H37" s="13" t="n"/>
      <c r="I37" s="31" t="n"/>
      <c r="J37" s="12">
        <f>IF(ISNUMBER($A37),$A37+ROW()/100000,"")</f>
        <v/>
      </c>
      <c r="K37" s="12">
        <f>IF(AND(ISNUMBER($J37),$B37&lt;&gt;"",$B37='顧客カルテ'!$C$3),$J37,"")</f>
        <v/>
      </c>
    </row>
    <row r="38" ht="30" customHeight="1">
      <c r="A38" s="13" t="n"/>
      <c r="B38" s="7" t="n"/>
      <c r="C38" s="11">
        <f>IF($B38="","",IFERROR(INDEX('顧客一覧'!$C$5:$C$104,MATCH($B38,'顧客一覧'!$A$5:$A$104,0))&amp;"","※顧客一覧にないID"))</f>
        <v/>
      </c>
      <c r="D38" s="7" t="n"/>
      <c r="E38" s="7" t="n"/>
      <c r="F38" s="14" t="n"/>
      <c r="G38" s="14" t="n"/>
      <c r="H38" s="13" t="n"/>
      <c r="I38" s="31" t="n"/>
      <c r="J38" s="12">
        <f>IF(ISNUMBER($A38),$A38+ROW()/100000,"")</f>
        <v/>
      </c>
      <c r="K38" s="12">
        <f>IF(AND(ISNUMBER($J38),$B38&lt;&gt;"",$B38='顧客カルテ'!$C$3),$J38,"")</f>
        <v/>
      </c>
    </row>
    <row r="39" ht="30" customHeight="1">
      <c r="A39" s="13" t="n"/>
      <c r="B39" s="7" t="n"/>
      <c r="C39" s="11">
        <f>IF($B39="","",IFERROR(INDEX('顧客一覧'!$C$5:$C$104,MATCH($B39,'顧客一覧'!$A$5:$A$104,0))&amp;"","※顧客一覧にないID"))</f>
        <v/>
      </c>
      <c r="D39" s="7" t="n"/>
      <c r="E39" s="7" t="n"/>
      <c r="F39" s="14" t="n"/>
      <c r="G39" s="14" t="n"/>
      <c r="H39" s="13" t="n"/>
      <c r="I39" s="31" t="n"/>
      <c r="J39" s="12">
        <f>IF(ISNUMBER($A39),$A39+ROW()/100000,"")</f>
        <v/>
      </c>
      <c r="K39" s="12">
        <f>IF(AND(ISNUMBER($J39),$B39&lt;&gt;"",$B39='顧客カルテ'!$C$3),$J39,"")</f>
        <v/>
      </c>
    </row>
    <row r="40" ht="30" customHeight="1">
      <c r="A40" s="13" t="n"/>
      <c r="B40" s="7" t="n"/>
      <c r="C40" s="11">
        <f>IF($B40="","",IFERROR(INDEX('顧客一覧'!$C$5:$C$104,MATCH($B40,'顧客一覧'!$A$5:$A$104,0))&amp;"","※顧客一覧にないID"))</f>
        <v/>
      </c>
      <c r="D40" s="7" t="n"/>
      <c r="E40" s="7" t="n"/>
      <c r="F40" s="14" t="n"/>
      <c r="G40" s="14" t="n"/>
      <c r="H40" s="13" t="n"/>
      <c r="I40" s="31" t="n"/>
      <c r="J40" s="12">
        <f>IF(ISNUMBER($A40),$A40+ROW()/100000,"")</f>
        <v/>
      </c>
      <c r="K40" s="12">
        <f>IF(AND(ISNUMBER($J40),$B40&lt;&gt;"",$B40='顧客カルテ'!$C$3),$J40,"")</f>
        <v/>
      </c>
    </row>
    <row r="41" ht="30" customHeight="1">
      <c r="A41" s="13" t="n"/>
      <c r="B41" s="7" t="n"/>
      <c r="C41" s="11">
        <f>IF($B41="","",IFERROR(INDEX('顧客一覧'!$C$5:$C$104,MATCH($B41,'顧客一覧'!$A$5:$A$104,0))&amp;"","※顧客一覧にないID"))</f>
        <v/>
      </c>
      <c r="D41" s="7" t="n"/>
      <c r="E41" s="7" t="n"/>
      <c r="F41" s="14" t="n"/>
      <c r="G41" s="14" t="n"/>
      <c r="H41" s="13" t="n"/>
      <c r="I41" s="31" t="n"/>
      <c r="J41" s="12">
        <f>IF(ISNUMBER($A41),$A41+ROW()/100000,"")</f>
        <v/>
      </c>
      <c r="K41" s="12">
        <f>IF(AND(ISNUMBER($J41),$B41&lt;&gt;"",$B41='顧客カルテ'!$C$3),$J41,"")</f>
        <v/>
      </c>
    </row>
    <row r="42" ht="30" customHeight="1">
      <c r="A42" s="13" t="n"/>
      <c r="B42" s="7" t="n"/>
      <c r="C42" s="11">
        <f>IF($B42="","",IFERROR(INDEX('顧客一覧'!$C$5:$C$104,MATCH($B42,'顧客一覧'!$A$5:$A$104,0))&amp;"","※顧客一覧にないID"))</f>
        <v/>
      </c>
      <c r="D42" s="7" t="n"/>
      <c r="E42" s="7" t="n"/>
      <c r="F42" s="14" t="n"/>
      <c r="G42" s="14" t="n"/>
      <c r="H42" s="13" t="n"/>
      <c r="I42" s="31" t="n"/>
      <c r="J42" s="12">
        <f>IF(ISNUMBER($A42),$A42+ROW()/100000,"")</f>
        <v/>
      </c>
      <c r="K42" s="12">
        <f>IF(AND(ISNUMBER($J42),$B42&lt;&gt;"",$B42='顧客カルテ'!$C$3),$J42,"")</f>
        <v/>
      </c>
    </row>
    <row r="43" ht="30" customHeight="1">
      <c r="A43" s="13" t="n"/>
      <c r="B43" s="7" t="n"/>
      <c r="C43" s="11">
        <f>IF($B43="","",IFERROR(INDEX('顧客一覧'!$C$5:$C$104,MATCH($B43,'顧客一覧'!$A$5:$A$104,0))&amp;"","※顧客一覧にないID"))</f>
        <v/>
      </c>
      <c r="D43" s="7" t="n"/>
      <c r="E43" s="7" t="n"/>
      <c r="F43" s="14" t="n"/>
      <c r="G43" s="14" t="n"/>
      <c r="H43" s="13" t="n"/>
      <c r="I43" s="31" t="n"/>
      <c r="J43" s="12">
        <f>IF(ISNUMBER($A43),$A43+ROW()/100000,"")</f>
        <v/>
      </c>
      <c r="K43" s="12">
        <f>IF(AND(ISNUMBER($J43),$B43&lt;&gt;"",$B43='顧客カルテ'!$C$3),$J43,"")</f>
        <v/>
      </c>
    </row>
    <row r="44" ht="30" customHeight="1">
      <c r="A44" s="13" t="n"/>
      <c r="B44" s="7" t="n"/>
      <c r="C44" s="11">
        <f>IF($B44="","",IFERROR(INDEX('顧客一覧'!$C$5:$C$104,MATCH($B44,'顧客一覧'!$A$5:$A$104,0))&amp;"","※顧客一覧にないID"))</f>
        <v/>
      </c>
      <c r="D44" s="7" t="n"/>
      <c r="E44" s="7" t="n"/>
      <c r="F44" s="14" t="n"/>
      <c r="G44" s="14" t="n"/>
      <c r="H44" s="13" t="n"/>
      <c r="I44" s="31" t="n"/>
      <c r="J44" s="12">
        <f>IF(ISNUMBER($A44),$A44+ROW()/100000,"")</f>
        <v/>
      </c>
      <c r="K44" s="12">
        <f>IF(AND(ISNUMBER($J44),$B44&lt;&gt;"",$B44='顧客カルテ'!$C$3),$J44,"")</f>
        <v/>
      </c>
    </row>
    <row r="45" ht="30" customHeight="1">
      <c r="A45" s="13" t="n"/>
      <c r="B45" s="7" t="n"/>
      <c r="C45" s="11">
        <f>IF($B45="","",IFERROR(INDEX('顧客一覧'!$C$5:$C$104,MATCH($B45,'顧客一覧'!$A$5:$A$104,0))&amp;"","※顧客一覧にないID"))</f>
        <v/>
      </c>
      <c r="D45" s="7" t="n"/>
      <c r="E45" s="7" t="n"/>
      <c r="F45" s="14" t="n"/>
      <c r="G45" s="14" t="n"/>
      <c r="H45" s="13" t="n"/>
      <c r="I45" s="31" t="n"/>
      <c r="J45" s="12">
        <f>IF(ISNUMBER($A45),$A45+ROW()/100000,"")</f>
        <v/>
      </c>
      <c r="K45" s="12">
        <f>IF(AND(ISNUMBER($J45),$B45&lt;&gt;"",$B45='顧客カルテ'!$C$3),$J45,"")</f>
        <v/>
      </c>
    </row>
    <row r="46" ht="30" customHeight="1">
      <c r="A46" s="13" t="n"/>
      <c r="B46" s="7" t="n"/>
      <c r="C46" s="11">
        <f>IF($B46="","",IFERROR(INDEX('顧客一覧'!$C$5:$C$104,MATCH($B46,'顧客一覧'!$A$5:$A$104,0))&amp;"","※顧客一覧にないID"))</f>
        <v/>
      </c>
      <c r="D46" s="7" t="n"/>
      <c r="E46" s="7" t="n"/>
      <c r="F46" s="14" t="n"/>
      <c r="G46" s="14" t="n"/>
      <c r="H46" s="13" t="n"/>
      <c r="I46" s="31" t="n"/>
      <c r="J46" s="12">
        <f>IF(ISNUMBER($A46),$A46+ROW()/100000,"")</f>
        <v/>
      </c>
      <c r="K46" s="12">
        <f>IF(AND(ISNUMBER($J46),$B46&lt;&gt;"",$B46='顧客カルテ'!$C$3),$J46,"")</f>
        <v/>
      </c>
    </row>
    <row r="47" ht="30" customHeight="1">
      <c r="A47" s="13" t="n"/>
      <c r="B47" s="7" t="n"/>
      <c r="C47" s="11">
        <f>IF($B47="","",IFERROR(INDEX('顧客一覧'!$C$5:$C$104,MATCH($B47,'顧客一覧'!$A$5:$A$104,0))&amp;"","※顧客一覧にないID"))</f>
        <v/>
      </c>
      <c r="D47" s="7" t="n"/>
      <c r="E47" s="7" t="n"/>
      <c r="F47" s="14" t="n"/>
      <c r="G47" s="14" t="n"/>
      <c r="H47" s="13" t="n"/>
      <c r="I47" s="31" t="n"/>
      <c r="J47" s="12">
        <f>IF(ISNUMBER($A47),$A47+ROW()/100000,"")</f>
        <v/>
      </c>
      <c r="K47" s="12">
        <f>IF(AND(ISNUMBER($J47),$B47&lt;&gt;"",$B47='顧客カルテ'!$C$3),$J47,"")</f>
        <v/>
      </c>
    </row>
    <row r="48" ht="30" customHeight="1">
      <c r="A48" s="13" t="n"/>
      <c r="B48" s="7" t="n"/>
      <c r="C48" s="11">
        <f>IF($B48="","",IFERROR(INDEX('顧客一覧'!$C$5:$C$104,MATCH($B48,'顧客一覧'!$A$5:$A$104,0))&amp;"","※顧客一覧にないID"))</f>
        <v/>
      </c>
      <c r="D48" s="7" t="n"/>
      <c r="E48" s="7" t="n"/>
      <c r="F48" s="14" t="n"/>
      <c r="G48" s="14" t="n"/>
      <c r="H48" s="13" t="n"/>
      <c r="I48" s="31" t="n"/>
      <c r="J48" s="12">
        <f>IF(ISNUMBER($A48),$A48+ROW()/100000,"")</f>
        <v/>
      </c>
      <c r="K48" s="12">
        <f>IF(AND(ISNUMBER($J48),$B48&lt;&gt;"",$B48='顧客カルテ'!$C$3),$J48,"")</f>
        <v/>
      </c>
    </row>
    <row r="49" ht="30" customHeight="1">
      <c r="A49" s="13" t="n"/>
      <c r="B49" s="7" t="n"/>
      <c r="C49" s="11">
        <f>IF($B49="","",IFERROR(INDEX('顧客一覧'!$C$5:$C$104,MATCH($B49,'顧客一覧'!$A$5:$A$104,0))&amp;"","※顧客一覧にないID"))</f>
        <v/>
      </c>
      <c r="D49" s="7" t="n"/>
      <c r="E49" s="7" t="n"/>
      <c r="F49" s="14" t="n"/>
      <c r="G49" s="14" t="n"/>
      <c r="H49" s="13" t="n"/>
      <c r="I49" s="31" t="n"/>
      <c r="J49" s="12">
        <f>IF(ISNUMBER($A49),$A49+ROW()/100000,"")</f>
        <v/>
      </c>
      <c r="K49" s="12">
        <f>IF(AND(ISNUMBER($J49),$B49&lt;&gt;"",$B49='顧客カルテ'!$C$3),$J49,"")</f>
        <v/>
      </c>
    </row>
    <row r="50" ht="30" customHeight="1">
      <c r="A50" s="13" t="n"/>
      <c r="B50" s="7" t="n"/>
      <c r="C50" s="11">
        <f>IF($B50="","",IFERROR(INDEX('顧客一覧'!$C$5:$C$104,MATCH($B50,'顧客一覧'!$A$5:$A$104,0))&amp;"","※顧客一覧にないID"))</f>
        <v/>
      </c>
      <c r="D50" s="7" t="n"/>
      <c r="E50" s="7" t="n"/>
      <c r="F50" s="14" t="n"/>
      <c r="G50" s="14" t="n"/>
      <c r="H50" s="13" t="n"/>
      <c r="I50" s="31" t="n"/>
      <c r="J50" s="12">
        <f>IF(ISNUMBER($A50),$A50+ROW()/100000,"")</f>
        <v/>
      </c>
      <c r="K50" s="12">
        <f>IF(AND(ISNUMBER($J50),$B50&lt;&gt;"",$B50='顧客カルテ'!$C$3),$J50,"")</f>
        <v/>
      </c>
    </row>
    <row r="51" ht="30" customHeight="1">
      <c r="A51" s="13" t="n"/>
      <c r="B51" s="7" t="n"/>
      <c r="C51" s="11">
        <f>IF($B51="","",IFERROR(INDEX('顧客一覧'!$C$5:$C$104,MATCH($B51,'顧客一覧'!$A$5:$A$104,0))&amp;"","※顧客一覧にないID"))</f>
        <v/>
      </c>
      <c r="D51" s="7" t="n"/>
      <c r="E51" s="7" t="n"/>
      <c r="F51" s="14" t="n"/>
      <c r="G51" s="14" t="n"/>
      <c r="H51" s="13" t="n"/>
      <c r="I51" s="31" t="n"/>
      <c r="J51" s="12">
        <f>IF(ISNUMBER($A51),$A51+ROW()/100000,"")</f>
        <v/>
      </c>
      <c r="K51" s="12">
        <f>IF(AND(ISNUMBER($J51),$B51&lt;&gt;"",$B51='顧客カルテ'!$C$3),$J51,"")</f>
        <v/>
      </c>
    </row>
    <row r="52" ht="30" customHeight="1">
      <c r="A52" s="13" t="n"/>
      <c r="B52" s="7" t="n"/>
      <c r="C52" s="11">
        <f>IF($B52="","",IFERROR(INDEX('顧客一覧'!$C$5:$C$104,MATCH($B52,'顧客一覧'!$A$5:$A$104,0))&amp;"","※顧客一覧にないID"))</f>
        <v/>
      </c>
      <c r="D52" s="7" t="n"/>
      <c r="E52" s="7" t="n"/>
      <c r="F52" s="14" t="n"/>
      <c r="G52" s="14" t="n"/>
      <c r="H52" s="13" t="n"/>
      <c r="I52" s="31" t="n"/>
      <c r="J52" s="12">
        <f>IF(ISNUMBER($A52),$A52+ROW()/100000,"")</f>
        <v/>
      </c>
      <c r="K52" s="12">
        <f>IF(AND(ISNUMBER($J52),$B52&lt;&gt;"",$B52='顧客カルテ'!$C$3),$J52,"")</f>
        <v/>
      </c>
    </row>
    <row r="53" ht="30" customHeight="1">
      <c r="A53" s="13" t="n"/>
      <c r="B53" s="7" t="n"/>
      <c r="C53" s="11">
        <f>IF($B53="","",IFERROR(INDEX('顧客一覧'!$C$5:$C$104,MATCH($B53,'顧客一覧'!$A$5:$A$104,0))&amp;"","※顧客一覧にないID"))</f>
        <v/>
      </c>
      <c r="D53" s="7" t="n"/>
      <c r="E53" s="7" t="n"/>
      <c r="F53" s="14" t="n"/>
      <c r="G53" s="14" t="n"/>
      <c r="H53" s="13" t="n"/>
      <c r="I53" s="31" t="n"/>
      <c r="J53" s="12">
        <f>IF(ISNUMBER($A53),$A53+ROW()/100000,"")</f>
        <v/>
      </c>
      <c r="K53" s="12">
        <f>IF(AND(ISNUMBER($J53),$B53&lt;&gt;"",$B53='顧客カルテ'!$C$3),$J53,"")</f>
        <v/>
      </c>
    </row>
    <row r="54" ht="30" customHeight="1">
      <c r="A54" s="13" t="n"/>
      <c r="B54" s="7" t="n"/>
      <c r="C54" s="11">
        <f>IF($B54="","",IFERROR(INDEX('顧客一覧'!$C$5:$C$104,MATCH($B54,'顧客一覧'!$A$5:$A$104,0))&amp;"","※顧客一覧にないID"))</f>
        <v/>
      </c>
      <c r="D54" s="7" t="n"/>
      <c r="E54" s="7" t="n"/>
      <c r="F54" s="14" t="n"/>
      <c r="G54" s="14" t="n"/>
      <c r="H54" s="13" t="n"/>
      <c r="I54" s="31" t="n"/>
      <c r="J54" s="12">
        <f>IF(ISNUMBER($A54),$A54+ROW()/100000,"")</f>
        <v/>
      </c>
      <c r="K54" s="12">
        <f>IF(AND(ISNUMBER($J54),$B54&lt;&gt;"",$B54='顧客カルテ'!$C$3),$J54,"")</f>
        <v/>
      </c>
    </row>
    <row r="55" ht="30" customHeight="1">
      <c r="A55" s="13" t="n"/>
      <c r="B55" s="7" t="n"/>
      <c r="C55" s="11">
        <f>IF($B55="","",IFERROR(INDEX('顧客一覧'!$C$5:$C$104,MATCH($B55,'顧客一覧'!$A$5:$A$104,0))&amp;"","※顧客一覧にないID"))</f>
        <v/>
      </c>
      <c r="D55" s="7" t="n"/>
      <c r="E55" s="7" t="n"/>
      <c r="F55" s="14" t="n"/>
      <c r="G55" s="14" t="n"/>
      <c r="H55" s="13" t="n"/>
      <c r="I55" s="31" t="n"/>
      <c r="J55" s="12">
        <f>IF(ISNUMBER($A55),$A55+ROW()/100000,"")</f>
        <v/>
      </c>
      <c r="K55" s="12">
        <f>IF(AND(ISNUMBER($J55),$B55&lt;&gt;"",$B55='顧客カルテ'!$C$3),$J55,"")</f>
        <v/>
      </c>
    </row>
    <row r="56" ht="30" customHeight="1">
      <c r="A56" s="13" t="n"/>
      <c r="B56" s="7" t="n"/>
      <c r="C56" s="11">
        <f>IF($B56="","",IFERROR(INDEX('顧客一覧'!$C$5:$C$104,MATCH($B56,'顧客一覧'!$A$5:$A$104,0))&amp;"","※顧客一覧にないID"))</f>
        <v/>
      </c>
      <c r="D56" s="7" t="n"/>
      <c r="E56" s="7" t="n"/>
      <c r="F56" s="14" t="n"/>
      <c r="G56" s="14" t="n"/>
      <c r="H56" s="13" t="n"/>
      <c r="I56" s="31" t="n"/>
      <c r="J56" s="12">
        <f>IF(ISNUMBER($A56),$A56+ROW()/100000,"")</f>
        <v/>
      </c>
      <c r="K56" s="12">
        <f>IF(AND(ISNUMBER($J56),$B56&lt;&gt;"",$B56='顧客カルテ'!$C$3),$J56,"")</f>
        <v/>
      </c>
    </row>
    <row r="57" ht="30" customHeight="1">
      <c r="A57" s="13" t="n"/>
      <c r="B57" s="7" t="n"/>
      <c r="C57" s="11">
        <f>IF($B57="","",IFERROR(INDEX('顧客一覧'!$C$5:$C$104,MATCH($B57,'顧客一覧'!$A$5:$A$104,0))&amp;"","※顧客一覧にないID"))</f>
        <v/>
      </c>
      <c r="D57" s="7" t="n"/>
      <c r="E57" s="7" t="n"/>
      <c r="F57" s="14" t="n"/>
      <c r="G57" s="14" t="n"/>
      <c r="H57" s="13" t="n"/>
      <c r="I57" s="31" t="n"/>
      <c r="J57" s="12">
        <f>IF(ISNUMBER($A57),$A57+ROW()/100000,"")</f>
        <v/>
      </c>
      <c r="K57" s="12">
        <f>IF(AND(ISNUMBER($J57),$B57&lt;&gt;"",$B57='顧客カルテ'!$C$3),$J57,"")</f>
        <v/>
      </c>
    </row>
    <row r="58" ht="30" customHeight="1">
      <c r="A58" s="13" t="n"/>
      <c r="B58" s="7" t="n"/>
      <c r="C58" s="11">
        <f>IF($B58="","",IFERROR(INDEX('顧客一覧'!$C$5:$C$104,MATCH($B58,'顧客一覧'!$A$5:$A$104,0))&amp;"","※顧客一覧にないID"))</f>
        <v/>
      </c>
      <c r="D58" s="7" t="n"/>
      <c r="E58" s="7" t="n"/>
      <c r="F58" s="14" t="n"/>
      <c r="G58" s="14" t="n"/>
      <c r="H58" s="13" t="n"/>
      <c r="I58" s="31" t="n"/>
      <c r="J58" s="12">
        <f>IF(ISNUMBER($A58),$A58+ROW()/100000,"")</f>
        <v/>
      </c>
      <c r="K58" s="12">
        <f>IF(AND(ISNUMBER($J58),$B58&lt;&gt;"",$B58='顧客カルテ'!$C$3),$J58,"")</f>
        <v/>
      </c>
    </row>
    <row r="59" ht="30" customHeight="1">
      <c r="A59" s="13" t="n"/>
      <c r="B59" s="7" t="n"/>
      <c r="C59" s="11">
        <f>IF($B59="","",IFERROR(INDEX('顧客一覧'!$C$5:$C$104,MATCH($B59,'顧客一覧'!$A$5:$A$104,0))&amp;"","※顧客一覧にないID"))</f>
        <v/>
      </c>
      <c r="D59" s="7" t="n"/>
      <c r="E59" s="7" t="n"/>
      <c r="F59" s="14" t="n"/>
      <c r="G59" s="14" t="n"/>
      <c r="H59" s="13" t="n"/>
      <c r="I59" s="31" t="n"/>
      <c r="J59" s="12">
        <f>IF(ISNUMBER($A59),$A59+ROW()/100000,"")</f>
        <v/>
      </c>
      <c r="K59" s="12">
        <f>IF(AND(ISNUMBER($J59),$B59&lt;&gt;"",$B59='顧客カルテ'!$C$3),$J59,"")</f>
        <v/>
      </c>
    </row>
    <row r="60" ht="30" customHeight="1">
      <c r="A60" s="13" t="n"/>
      <c r="B60" s="7" t="n"/>
      <c r="C60" s="11">
        <f>IF($B60="","",IFERROR(INDEX('顧客一覧'!$C$5:$C$104,MATCH($B60,'顧客一覧'!$A$5:$A$104,0))&amp;"","※顧客一覧にないID"))</f>
        <v/>
      </c>
      <c r="D60" s="7" t="n"/>
      <c r="E60" s="7" t="n"/>
      <c r="F60" s="14" t="n"/>
      <c r="G60" s="14" t="n"/>
      <c r="H60" s="13" t="n"/>
      <c r="I60" s="31" t="n"/>
      <c r="J60" s="12">
        <f>IF(ISNUMBER($A60),$A60+ROW()/100000,"")</f>
        <v/>
      </c>
      <c r="K60" s="12">
        <f>IF(AND(ISNUMBER($J60),$B60&lt;&gt;"",$B60='顧客カルテ'!$C$3),$J60,"")</f>
        <v/>
      </c>
    </row>
    <row r="61" ht="30" customHeight="1">
      <c r="A61" s="13" t="n"/>
      <c r="B61" s="7" t="n"/>
      <c r="C61" s="11">
        <f>IF($B61="","",IFERROR(INDEX('顧客一覧'!$C$5:$C$104,MATCH($B61,'顧客一覧'!$A$5:$A$104,0))&amp;"","※顧客一覧にないID"))</f>
        <v/>
      </c>
      <c r="D61" s="7" t="n"/>
      <c r="E61" s="7" t="n"/>
      <c r="F61" s="14" t="n"/>
      <c r="G61" s="14" t="n"/>
      <c r="H61" s="13" t="n"/>
      <c r="I61" s="31" t="n"/>
      <c r="J61" s="12">
        <f>IF(ISNUMBER($A61),$A61+ROW()/100000,"")</f>
        <v/>
      </c>
      <c r="K61" s="12">
        <f>IF(AND(ISNUMBER($J61),$B61&lt;&gt;"",$B61='顧客カルテ'!$C$3),$J61,"")</f>
        <v/>
      </c>
    </row>
    <row r="62" ht="30" customHeight="1">
      <c r="A62" s="13" t="n"/>
      <c r="B62" s="7" t="n"/>
      <c r="C62" s="11">
        <f>IF($B62="","",IFERROR(INDEX('顧客一覧'!$C$5:$C$104,MATCH($B62,'顧客一覧'!$A$5:$A$104,0))&amp;"","※顧客一覧にないID"))</f>
        <v/>
      </c>
      <c r="D62" s="7" t="n"/>
      <c r="E62" s="7" t="n"/>
      <c r="F62" s="14" t="n"/>
      <c r="G62" s="14" t="n"/>
      <c r="H62" s="13" t="n"/>
      <c r="I62" s="31" t="n"/>
      <c r="J62" s="12">
        <f>IF(ISNUMBER($A62),$A62+ROW()/100000,"")</f>
        <v/>
      </c>
      <c r="K62" s="12">
        <f>IF(AND(ISNUMBER($J62),$B62&lt;&gt;"",$B62='顧客カルテ'!$C$3),$J62,"")</f>
        <v/>
      </c>
    </row>
    <row r="63" ht="30" customHeight="1">
      <c r="A63" s="13" t="n"/>
      <c r="B63" s="7" t="n"/>
      <c r="C63" s="11">
        <f>IF($B63="","",IFERROR(INDEX('顧客一覧'!$C$5:$C$104,MATCH($B63,'顧客一覧'!$A$5:$A$104,0))&amp;"","※顧客一覧にないID"))</f>
        <v/>
      </c>
      <c r="D63" s="7" t="n"/>
      <c r="E63" s="7" t="n"/>
      <c r="F63" s="14" t="n"/>
      <c r="G63" s="14" t="n"/>
      <c r="H63" s="13" t="n"/>
      <c r="I63" s="31" t="n"/>
      <c r="J63" s="12">
        <f>IF(ISNUMBER($A63),$A63+ROW()/100000,"")</f>
        <v/>
      </c>
      <c r="K63" s="12">
        <f>IF(AND(ISNUMBER($J63),$B63&lt;&gt;"",$B63='顧客カルテ'!$C$3),$J63,"")</f>
        <v/>
      </c>
    </row>
    <row r="64" ht="30" customHeight="1">
      <c r="A64" s="13" t="n"/>
      <c r="B64" s="7" t="n"/>
      <c r="C64" s="11">
        <f>IF($B64="","",IFERROR(INDEX('顧客一覧'!$C$5:$C$104,MATCH($B64,'顧客一覧'!$A$5:$A$104,0))&amp;"","※顧客一覧にないID"))</f>
        <v/>
      </c>
      <c r="D64" s="7" t="n"/>
      <c r="E64" s="7" t="n"/>
      <c r="F64" s="14" t="n"/>
      <c r="G64" s="14" t="n"/>
      <c r="H64" s="13" t="n"/>
      <c r="I64" s="31" t="n"/>
      <c r="J64" s="12">
        <f>IF(ISNUMBER($A64),$A64+ROW()/100000,"")</f>
        <v/>
      </c>
      <c r="K64" s="12">
        <f>IF(AND(ISNUMBER($J64),$B64&lt;&gt;"",$B64='顧客カルテ'!$C$3),$J64,"")</f>
        <v/>
      </c>
    </row>
    <row r="65" ht="30" customHeight="1">
      <c r="A65" s="13" t="n"/>
      <c r="B65" s="7" t="n"/>
      <c r="C65" s="11">
        <f>IF($B65="","",IFERROR(INDEX('顧客一覧'!$C$5:$C$104,MATCH($B65,'顧客一覧'!$A$5:$A$104,0))&amp;"","※顧客一覧にないID"))</f>
        <v/>
      </c>
      <c r="D65" s="7" t="n"/>
      <c r="E65" s="7" t="n"/>
      <c r="F65" s="14" t="n"/>
      <c r="G65" s="14" t="n"/>
      <c r="H65" s="13" t="n"/>
      <c r="I65" s="31" t="n"/>
      <c r="J65" s="12">
        <f>IF(ISNUMBER($A65),$A65+ROW()/100000,"")</f>
        <v/>
      </c>
      <c r="K65" s="12">
        <f>IF(AND(ISNUMBER($J65),$B65&lt;&gt;"",$B65='顧客カルテ'!$C$3),$J65,"")</f>
        <v/>
      </c>
    </row>
    <row r="66" ht="30" customHeight="1">
      <c r="A66" s="13" t="n"/>
      <c r="B66" s="7" t="n"/>
      <c r="C66" s="11">
        <f>IF($B66="","",IFERROR(INDEX('顧客一覧'!$C$5:$C$104,MATCH($B66,'顧客一覧'!$A$5:$A$104,0))&amp;"","※顧客一覧にないID"))</f>
        <v/>
      </c>
      <c r="D66" s="7" t="n"/>
      <c r="E66" s="7" t="n"/>
      <c r="F66" s="14" t="n"/>
      <c r="G66" s="14" t="n"/>
      <c r="H66" s="13" t="n"/>
      <c r="I66" s="31" t="n"/>
      <c r="J66" s="12">
        <f>IF(ISNUMBER($A66),$A66+ROW()/100000,"")</f>
        <v/>
      </c>
      <c r="K66" s="12">
        <f>IF(AND(ISNUMBER($J66),$B66&lt;&gt;"",$B66='顧客カルテ'!$C$3),$J66,"")</f>
        <v/>
      </c>
    </row>
    <row r="67" ht="30" customHeight="1">
      <c r="A67" s="13" t="n"/>
      <c r="B67" s="7" t="n"/>
      <c r="C67" s="11">
        <f>IF($B67="","",IFERROR(INDEX('顧客一覧'!$C$5:$C$104,MATCH($B67,'顧客一覧'!$A$5:$A$104,0))&amp;"","※顧客一覧にないID"))</f>
        <v/>
      </c>
      <c r="D67" s="7" t="n"/>
      <c r="E67" s="7" t="n"/>
      <c r="F67" s="14" t="n"/>
      <c r="G67" s="14" t="n"/>
      <c r="H67" s="13" t="n"/>
      <c r="I67" s="31" t="n"/>
      <c r="J67" s="12">
        <f>IF(ISNUMBER($A67),$A67+ROW()/100000,"")</f>
        <v/>
      </c>
      <c r="K67" s="12">
        <f>IF(AND(ISNUMBER($J67),$B67&lt;&gt;"",$B67='顧客カルテ'!$C$3),$J67,"")</f>
        <v/>
      </c>
    </row>
    <row r="68" ht="30" customHeight="1">
      <c r="A68" s="13" t="n"/>
      <c r="B68" s="7" t="n"/>
      <c r="C68" s="11">
        <f>IF($B68="","",IFERROR(INDEX('顧客一覧'!$C$5:$C$104,MATCH($B68,'顧客一覧'!$A$5:$A$104,0))&amp;"","※顧客一覧にないID"))</f>
        <v/>
      </c>
      <c r="D68" s="7" t="n"/>
      <c r="E68" s="7" t="n"/>
      <c r="F68" s="14" t="n"/>
      <c r="G68" s="14" t="n"/>
      <c r="H68" s="13" t="n"/>
      <c r="I68" s="31" t="n"/>
      <c r="J68" s="12">
        <f>IF(ISNUMBER($A68),$A68+ROW()/100000,"")</f>
        <v/>
      </c>
      <c r="K68" s="12">
        <f>IF(AND(ISNUMBER($J68),$B68&lt;&gt;"",$B68='顧客カルテ'!$C$3),$J68,"")</f>
        <v/>
      </c>
    </row>
    <row r="69" ht="30" customHeight="1">
      <c r="A69" s="13" t="n"/>
      <c r="B69" s="7" t="n"/>
      <c r="C69" s="11">
        <f>IF($B69="","",IFERROR(INDEX('顧客一覧'!$C$5:$C$104,MATCH($B69,'顧客一覧'!$A$5:$A$104,0))&amp;"","※顧客一覧にないID"))</f>
        <v/>
      </c>
      <c r="D69" s="7" t="n"/>
      <c r="E69" s="7" t="n"/>
      <c r="F69" s="14" t="n"/>
      <c r="G69" s="14" t="n"/>
      <c r="H69" s="13" t="n"/>
      <c r="I69" s="31" t="n"/>
      <c r="J69" s="12">
        <f>IF(ISNUMBER($A69),$A69+ROW()/100000,"")</f>
        <v/>
      </c>
      <c r="K69" s="12">
        <f>IF(AND(ISNUMBER($J69),$B69&lt;&gt;"",$B69='顧客カルテ'!$C$3),$J69,"")</f>
        <v/>
      </c>
    </row>
    <row r="70" ht="30" customHeight="1">
      <c r="A70" s="13" t="n"/>
      <c r="B70" s="7" t="n"/>
      <c r="C70" s="11">
        <f>IF($B70="","",IFERROR(INDEX('顧客一覧'!$C$5:$C$104,MATCH($B70,'顧客一覧'!$A$5:$A$104,0))&amp;"","※顧客一覧にないID"))</f>
        <v/>
      </c>
      <c r="D70" s="7" t="n"/>
      <c r="E70" s="7" t="n"/>
      <c r="F70" s="14" t="n"/>
      <c r="G70" s="14" t="n"/>
      <c r="H70" s="13" t="n"/>
      <c r="I70" s="31" t="n"/>
      <c r="J70" s="12">
        <f>IF(ISNUMBER($A70),$A70+ROW()/100000,"")</f>
        <v/>
      </c>
      <c r="K70" s="12">
        <f>IF(AND(ISNUMBER($J70),$B70&lt;&gt;"",$B70='顧客カルテ'!$C$3),$J70,"")</f>
        <v/>
      </c>
    </row>
    <row r="71" ht="30" customHeight="1">
      <c r="A71" s="13" t="n"/>
      <c r="B71" s="7" t="n"/>
      <c r="C71" s="11">
        <f>IF($B71="","",IFERROR(INDEX('顧客一覧'!$C$5:$C$104,MATCH($B71,'顧客一覧'!$A$5:$A$104,0))&amp;"","※顧客一覧にないID"))</f>
        <v/>
      </c>
      <c r="D71" s="7" t="n"/>
      <c r="E71" s="7" t="n"/>
      <c r="F71" s="14" t="n"/>
      <c r="G71" s="14" t="n"/>
      <c r="H71" s="13" t="n"/>
      <c r="I71" s="31" t="n"/>
      <c r="J71" s="12">
        <f>IF(ISNUMBER($A71),$A71+ROW()/100000,"")</f>
        <v/>
      </c>
      <c r="K71" s="12">
        <f>IF(AND(ISNUMBER($J71),$B71&lt;&gt;"",$B71='顧客カルテ'!$C$3),$J71,"")</f>
        <v/>
      </c>
    </row>
    <row r="72" ht="30" customHeight="1">
      <c r="A72" s="13" t="n"/>
      <c r="B72" s="7" t="n"/>
      <c r="C72" s="11">
        <f>IF($B72="","",IFERROR(INDEX('顧客一覧'!$C$5:$C$104,MATCH($B72,'顧客一覧'!$A$5:$A$104,0))&amp;"","※顧客一覧にないID"))</f>
        <v/>
      </c>
      <c r="D72" s="7" t="n"/>
      <c r="E72" s="7" t="n"/>
      <c r="F72" s="14" t="n"/>
      <c r="G72" s="14" t="n"/>
      <c r="H72" s="13" t="n"/>
      <c r="I72" s="31" t="n"/>
      <c r="J72" s="12">
        <f>IF(ISNUMBER($A72),$A72+ROW()/100000,"")</f>
        <v/>
      </c>
      <c r="K72" s="12">
        <f>IF(AND(ISNUMBER($J72),$B72&lt;&gt;"",$B72='顧客カルテ'!$C$3),$J72,"")</f>
        <v/>
      </c>
    </row>
    <row r="73" ht="30" customHeight="1">
      <c r="A73" s="13" t="n"/>
      <c r="B73" s="7" t="n"/>
      <c r="C73" s="11">
        <f>IF($B73="","",IFERROR(INDEX('顧客一覧'!$C$5:$C$104,MATCH($B73,'顧客一覧'!$A$5:$A$104,0))&amp;"","※顧客一覧にないID"))</f>
        <v/>
      </c>
      <c r="D73" s="7" t="n"/>
      <c r="E73" s="7" t="n"/>
      <c r="F73" s="14" t="n"/>
      <c r="G73" s="14" t="n"/>
      <c r="H73" s="13" t="n"/>
      <c r="I73" s="31" t="n"/>
      <c r="J73" s="12">
        <f>IF(ISNUMBER($A73),$A73+ROW()/100000,"")</f>
        <v/>
      </c>
      <c r="K73" s="12">
        <f>IF(AND(ISNUMBER($J73),$B73&lt;&gt;"",$B73='顧客カルテ'!$C$3),$J73,"")</f>
        <v/>
      </c>
    </row>
    <row r="74" ht="30" customHeight="1">
      <c r="A74" s="13" t="n"/>
      <c r="B74" s="7" t="n"/>
      <c r="C74" s="11">
        <f>IF($B74="","",IFERROR(INDEX('顧客一覧'!$C$5:$C$104,MATCH($B74,'顧客一覧'!$A$5:$A$104,0))&amp;"","※顧客一覧にないID"))</f>
        <v/>
      </c>
      <c r="D74" s="7" t="n"/>
      <c r="E74" s="7" t="n"/>
      <c r="F74" s="14" t="n"/>
      <c r="G74" s="14" t="n"/>
      <c r="H74" s="13" t="n"/>
      <c r="I74" s="31" t="n"/>
      <c r="J74" s="12">
        <f>IF(ISNUMBER($A74),$A74+ROW()/100000,"")</f>
        <v/>
      </c>
      <c r="K74" s="12">
        <f>IF(AND(ISNUMBER($J74),$B74&lt;&gt;"",$B74='顧客カルテ'!$C$3),$J74,"")</f>
        <v/>
      </c>
    </row>
    <row r="75" ht="30" customHeight="1">
      <c r="A75" s="13" t="n"/>
      <c r="B75" s="7" t="n"/>
      <c r="C75" s="11">
        <f>IF($B75="","",IFERROR(INDEX('顧客一覧'!$C$5:$C$104,MATCH($B75,'顧客一覧'!$A$5:$A$104,0))&amp;"","※顧客一覧にないID"))</f>
        <v/>
      </c>
      <c r="D75" s="7" t="n"/>
      <c r="E75" s="7" t="n"/>
      <c r="F75" s="14" t="n"/>
      <c r="G75" s="14" t="n"/>
      <c r="H75" s="13" t="n"/>
      <c r="I75" s="31" t="n"/>
      <c r="J75" s="12">
        <f>IF(ISNUMBER($A75),$A75+ROW()/100000,"")</f>
        <v/>
      </c>
      <c r="K75" s="12">
        <f>IF(AND(ISNUMBER($J75),$B75&lt;&gt;"",$B75='顧客カルテ'!$C$3),$J75,"")</f>
        <v/>
      </c>
    </row>
    <row r="76" ht="30" customHeight="1">
      <c r="A76" s="13" t="n"/>
      <c r="B76" s="7" t="n"/>
      <c r="C76" s="11">
        <f>IF($B76="","",IFERROR(INDEX('顧客一覧'!$C$5:$C$104,MATCH($B76,'顧客一覧'!$A$5:$A$104,0))&amp;"","※顧客一覧にないID"))</f>
        <v/>
      </c>
      <c r="D76" s="7" t="n"/>
      <c r="E76" s="7" t="n"/>
      <c r="F76" s="14" t="n"/>
      <c r="G76" s="14" t="n"/>
      <c r="H76" s="13" t="n"/>
      <c r="I76" s="31" t="n"/>
      <c r="J76" s="12">
        <f>IF(ISNUMBER($A76),$A76+ROW()/100000,"")</f>
        <v/>
      </c>
      <c r="K76" s="12">
        <f>IF(AND(ISNUMBER($J76),$B76&lt;&gt;"",$B76='顧客カルテ'!$C$3),$J76,"")</f>
        <v/>
      </c>
    </row>
    <row r="77" ht="30" customHeight="1">
      <c r="A77" s="13" t="n"/>
      <c r="B77" s="7" t="n"/>
      <c r="C77" s="11">
        <f>IF($B77="","",IFERROR(INDEX('顧客一覧'!$C$5:$C$104,MATCH($B77,'顧客一覧'!$A$5:$A$104,0))&amp;"","※顧客一覧にないID"))</f>
        <v/>
      </c>
      <c r="D77" s="7" t="n"/>
      <c r="E77" s="7" t="n"/>
      <c r="F77" s="14" t="n"/>
      <c r="G77" s="14" t="n"/>
      <c r="H77" s="13" t="n"/>
      <c r="I77" s="31" t="n"/>
      <c r="J77" s="12">
        <f>IF(ISNUMBER($A77),$A77+ROW()/100000,"")</f>
        <v/>
      </c>
      <c r="K77" s="12">
        <f>IF(AND(ISNUMBER($J77),$B77&lt;&gt;"",$B77='顧客カルテ'!$C$3),$J77,"")</f>
        <v/>
      </c>
    </row>
    <row r="78" ht="30" customHeight="1">
      <c r="A78" s="13" t="n"/>
      <c r="B78" s="7" t="n"/>
      <c r="C78" s="11">
        <f>IF($B78="","",IFERROR(INDEX('顧客一覧'!$C$5:$C$104,MATCH($B78,'顧客一覧'!$A$5:$A$104,0))&amp;"","※顧客一覧にないID"))</f>
        <v/>
      </c>
      <c r="D78" s="7" t="n"/>
      <c r="E78" s="7" t="n"/>
      <c r="F78" s="14" t="n"/>
      <c r="G78" s="14" t="n"/>
      <c r="H78" s="13" t="n"/>
      <c r="I78" s="31" t="n"/>
      <c r="J78" s="12">
        <f>IF(ISNUMBER($A78),$A78+ROW()/100000,"")</f>
        <v/>
      </c>
      <c r="K78" s="12">
        <f>IF(AND(ISNUMBER($J78),$B78&lt;&gt;"",$B78='顧客カルテ'!$C$3),$J78,"")</f>
        <v/>
      </c>
    </row>
    <row r="79" ht="30" customHeight="1">
      <c r="A79" s="13" t="n"/>
      <c r="B79" s="7" t="n"/>
      <c r="C79" s="11">
        <f>IF($B79="","",IFERROR(INDEX('顧客一覧'!$C$5:$C$104,MATCH($B79,'顧客一覧'!$A$5:$A$104,0))&amp;"","※顧客一覧にないID"))</f>
        <v/>
      </c>
      <c r="D79" s="7" t="n"/>
      <c r="E79" s="7" t="n"/>
      <c r="F79" s="14" t="n"/>
      <c r="G79" s="14" t="n"/>
      <c r="H79" s="13" t="n"/>
      <c r="I79" s="31" t="n"/>
      <c r="J79" s="12">
        <f>IF(ISNUMBER($A79),$A79+ROW()/100000,"")</f>
        <v/>
      </c>
      <c r="K79" s="12">
        <f>IF(AND(ISNUMBER($J79),$B79&lt;&gt;"",$B79='顧客カルテ'!$C$3),$J79,"")</f>
        <v/>
      </c>
    </row>
    <row r="80" ht="30" customHeight="1">
      <c r="A80" s="13" t="n"/>
      <c r="B80" s="7" t="n"/>
      <c r="C80" s="11">
        <f>IF($B80="","",IFERROR(INDEX('顧客一覧'!$C$5:$C$104,MATCH($B80,'顧客一覧'!$A$5:$A$104,0))&amp;"","※顧客一覧にないID"))</f>
        <v/>
      </c>
      <c r="D80" s="7" t="n"/>
      <c r="E80" s="7" t="n"/>
      <c r="F80" s="14" t="n"/>
      <c r="G80" s="14" t="n"/>
      <c r="H80" s="13" t="n"/>
      <c r="I80" s="31" t="n"/>
      <c r="J80" s="12">
        <f>IF(ISNUMBER($A80),$A80+ROW()/100000,"")</f>
        <v/>
      </c>
      <c r="K80" s="12">
        <f>IF(AND(ISNUMBER($J80),$B80&lt;&gt;"",$B80='顧客カルテ'!$C$3),$J80,"")</f>
        <v/>
      </c>
    </row>
    <row r="81" ht="30" customHeight="1">
      <c r="A81" s="13" t="n"/>
      <c r="B81" s="7" t="n"/>
      <c r="C81" s="11">
        <f>IF($B81="","",IFERROR(INDEX('顧客一覧'!$C$5:$C$104,MATCH($B81,'顧客一覧'!$A$5:$A$104,0))&amp;"","※顧客一覧にないID"))</f>
        <v/>
      </c>
      <c r="D81" s="7" t="n"/>
      <c r="E81" s="7" t="n"/>
      <c r="F81" s="14" t="n"/>
      <c r="G81" s="14" t="n"/>
      <c r="H81" s="13" t="n"/>
      <c r="I81" s="31" t="n"/>
      <c r="J81" s="12">
        <f>IF(ISNUMBER($A81),$A81+ROW()/100000,"")</f>
        <v/>
      </c>
      <c r="K81" s="12">
        <f>IF(AND(ISNUMBER($J81),$B81&lt;&gt;"",$B81='顧客カルテ'!$C$3),$J81,"")</f>
        <v/>
      </c>
    </row>
    <row r="82" ht="30" customHeight="1">
      <c r="A82" s="13" t="n"/>
      <c r="B82" s="7" t="n"/>
      <c r="C82" s="11">
        <f>IF($B82="","",IFERROR(INDEX('顧客一覧'!$C$5:$C$104,MATCH($B82,'顧客一覧'!$A$5:$A$104,0))&amp;"","※顧客一覧にないID"))</f>
        <v/>
      </c>
      <c r="D82" s="7" t="n"/>
      <c r="E82" s="7" t="n"/>
      <c r="F82" s="14" t="n"/>
      <c r="G82" s="14" t="n"/>
      <c r="H82" s="13" t="n"/>
      <c r="I82" s="31" t="n"/>
      <c r="J82" s="12">
        <f>IF(ISNUMBER($A82),$A82+ROW()/100000,"")</f>
        <v/>
      </c>
      <c r="K82" s="12">
        <f>IF(AND(ISNUMBER($J82),$B82&lt;&gt;"",$B82='顧客カルテ'!$C$3),$J82,"")</f>
        <v/>
      </c>
    </row>
    <row r="83" ht="30" customHeight="1">
      <c r="A83" s="13" t="n"/>
      <c r="B83" s="7" t="n"/>
      <c r="C83" s="11">
        <f>IF($B83="","",IFERROR(INDEX('顧客一覧'!$C$5:$C$104,MATCH($B83,'顧客一覧'!$A$5:$A$104,0))&amp;"","※顧客一覧にないID"))</f>
        <v/>
      </c>
      <c r="D83" s="7" t="n"/>
      <c r="E83" s="7" t="n"/>
      <c r="F83" s="14" t="n"/>
      <c r="G83" s="14" t="n"/>
      <c r="H83" s="13" t="n"/>
      <c r="I83" s="31" t="n"/>
      <c r="J83" s="12">
        <f>IF(ISNUMBER($A83),$A83+ROW()/100000,"")</f>
        <v/>
      </c>
      <c r="K83" s="12">
        <f>IF(AND(ISNUMBER($J83),$B83&lt;&gt;"",$B83='顧客カルテ'!$C$3),$J83,"")</f>
        <v/>
      </c>
    </row>
    <row r="84" ht="30" customHeight="1">
      <c r="A84" s="13" t="n"/>
      <c r="B84" s="7" t="n"/>
      <c r="C84" s="11">
        <f>IF($B84="","",IFERROR(INDEX('顧客一覧'!$C$5:$C$104,MATCH($B84,'顧客一覧'!$A$5:$A$104,0))&amp;"","※顧客一覧にないID"))</f>
        <v/>
      </c>
      <c r="D84" s="7" t="n"/>
      <c r="E84" s="7" t="n"/>
      <c r="F84" s="14" t="n"/>
      <c r="G84" s="14" t="n"/>
      <c r="H84" s="13" t="n"/>
      <c r="I84" s="31" t="n"/>
      <c r="J84" s="12">
        <f>IF(ISNUMBER($A84),$A84+ROW()/100000,"")</f>
        <v/>
      </c>
      <c r="K84" s="12">
        <f>IF(AND(ISNUMBER($J84),$B84&lt;&gt;"",$B84='顧客カルテ'!$C$3),$J84,"")</f>
        <v/>
      </c>
    </row>
    <row r="85" ht="30" customHeight="1">
      <c r="A85" s="13" t="n"/>
      <c r="B85" s="7" t="n"/>
      <c r="C85" s="11">
        <f>IF($B85="","",IFERROR(INDEX('顧客一覧'!$C$5:$C$104,MATCH($B85,'顧客一覧'!$A$5:$A$104,0))&amp;"","※顧客一覧にないID"))</f>
        <v/>
      </c>
      <c r="D85" s="7" t="n"/>
      <c r="E85" s="7" t="n"/>
      <c r="F85" s="14" t="n"/>
      <c r="G85" s="14" t="n"/>
      <c r="H85" s="13" t="n"/>
      <c r="I85" s="31" t="n"/>
      <c r="J85" s="12">
        <f>IF(ISNUMBER($A85),$A85+ROW()/100000,"")</f>
        <v/>
      </c>
      <c r="K85" s="12">
        <f>IF(AND(ISNUMBER($J85),$B85&lt;&gt;"",$B85='顧客カルテ'!$C$3),$J85,"")</f>
        <v/>
      </c>
    </row>
    <row r="86" ht="30" customHeight="1">
      <c r="A86" s="13" t="n"/>
      <c r="B86" s="7" t="n"/>
      <c r="C86" s="11">
        <f>IF($B86="","",IFERROR(INDEX('顧客一覧'!$C$5:$C$104,MATCH($B86,'顧客一覧'!$A$5:$A$104,0))&amp;"","※顧客一覧にないID"))</f>
        <v/>
      </c>
      <c r="D86" s="7" t="n"/>
      <c r="E86" s="7" t="n"/>
      <c r="F86" s="14" t="n"/>
      <c r="G86" s="14" t="n"/>
      <c r="H86" s="13" t="n"/>
      <c r="I86" s="31" t="n"/>
      <c r="J86" s="12">
        <f>IF(ISNUMBER($A86),$A86+ROW()/100000,"")</f>
        <v/>
      </c>
      <c r="K86" s="12">
        <f>IF(AND(ISNUMBER($J86),$B86&lt;&gt;"",$B86='顧客カルテ'!$C$3),$J86,"")</f>
        <v/>
      </c>
    </row>
    <row r="87" ht="30" customHeight="1">
      <c r="A87" s="13" t="n"/>
      <c r="B87" s="7" t="n"/>
      <c r="C87" s="11">
        <f>IF($B87="","",IFERROR(INDEX('顧客一覧'!$C$5:$C$104,MATCH($B87,'顧客一覧'!$A$5:$A$104,0))&amp;"","※顧客一覧にないID"))</f>
        <v/>
      </c>
      <c r="D87" s="7" t="n"/>
      <c r="E87" s="7" t="n"/>
      <c r="F87" s="14" t="n"/>
      <c r="G87" s="14" t="n"/>
      <c r="H87" s="13" t="n"/>
      <c r="I87" s="31" t="n"/>
      <c r="J87" s="12">
        <f>IF(ISNUMBER($A87),$A87+ROW()/100000,"")</f>
        <v/>
      </c>
      <c r="K87" s="12">
        <f>IF(AND(ISNUMBER($J87),$B87&lt;&gt;"",$B87='顧客カルテ'!$C$3),$J87,"")</f>
        <v/>
      </c>
    </row>
    <row r="88" ht="30" customHeight="1">
      <c r="A88" s="13" t="n"/>
      <c r="B88" s="7" t="n"/>
      <c r="C88" s="11">
        <f>IF($B88="","",IFERROR(INDEX('顧客一覧'!$C$5:$C$104,MATCH($B88,'顧客一覧'!$A$5:$A$104,0))&amp;"","※顧客一覧にないID"))</f>
        <v/>
      </c>
      <c r="D88" s="7" t="n"/>
      <c r="E88" s="7" t="n"/>
      <c r="F88" s="14" t="n"/>
      <c r="G88" s="14" t="n"/>
      <c r="H88" s="13" t="n"/>
      <c r="I88" s="31" t="n"/>
      <c r="J88" s="12">
        <f>IF(ISNUMBER($A88),$A88+ROW()/100000,"")</f>
        <v/>
      </c>
      <c r="K88" s="12">
        <f>IF(AND(ISNUMBER($J88),$B88&lt;&gt;"",$B88='顧客カルテ'!$C$3),$J88,"")</f>
        <v/>
      </c>
    </row>
    <row r="89" ht="30" customHeight="1">
      <c r="A89" s="13" t="n"/>
      <c r="B89" s="7" t="n"/>
      <c r="C89" s="11">
        <f>IF($B89="","",IFERROR(INDEX('顧客一覧'!$C$5:$C$104,MATCH($B89,'顧客一覧'!$A$5:$A$104,0))&amp;"","※顧客一覧にないID"))</f>
        <v/>
      </c>
      <c r="D89" s="7" t="n"/>
      <c r="E89" s="7" t="n"/>
      <c r="F89" s="14" t="n"/>
      <c r="G89" s="14" t="n"/>
      <c r="H89" s="13" t="n"/>
      <c r="I89" s="31" t="n"/>
      <c r="J89" s="12">
        <f>IF(ISNUMBER($A89),$A89+ROW()/100000,"")</f>
        <v/>
      </c>
      <c r="K89" s="12">
        <f>IF(AND(ISNUMBER($J89),$B89&lt;&gt;"",$B89='顧客カルテ'!$C$3),$J89,"")</f>
        <v/>
      </c>
    </row>
    <row r="90" ht="30" customHeight="1">
      <c r="A90" s="13" t="n"/>
      <c r="B90" s="7" t="n"/>
      <c r="C90" s="11">
        <f>IF($B90="","",IFERROR(INDEX('顧客一覧'!$C$5:$C$104,MATCH($B90,'顧客一覧'!$A$5:$A$104,0))&amp;"","※顧客一覧にないID"))</f>
        <v/>
      </c>
      <c r="D90" s="7" t="n"/>
      <c r="E90" s="7" t="n"/>
      <c r="F90" s="14" t="n"/>
      <c r="G90" s="14" t="n"/>
      <c r="H90" s="13" t="n"/>
      <c r="I90" s="31" t="n"/>
      <c r="J90" s="12">
        <f>IF(ISNUMBER($A90),$A90+ROW()/100000,"")</f>
        <v/>
      </c>
      <c r="K90" s="12">
        <f>IF(AND(ISNUMBER($J90),$B90&lt;&gt;"",$B90='顧客カルテ'!$C$3),$J90,"")</f>
        <v/>
      </c>
    </row>
    <row r="91" ht="30" customHeight="1">
      <c r="A91" s="13" t="n"/>
      <c r="B91" s="7" t="n"/>
      <c r="C91" s="11">
        <f>IF($B91="","",IFERROR(INDEX('顧客一覧'!$C$5:$C$104,MATCH($B91,'顧客一覧'!$A$5:$A$104,0))&amp;"","※顧客一覧にないID"))</f>
        <v/>
      </c>
      <c r="D91" s="7" t="n"/>
      <c r="E91" s="7" t="n"/>
      <c r="F91" s="14" t="n"/>
      <c r="G91" s="14" t="n"/>
      <c r="H91" s="13" t="n"/>
      <c r="I91" s="31" t="n"/>
      <c r="J91" s="12">
        <f>IF(ISNUMBER($A91),$A91+ROW()/100000,"")</f>
        <v/>
      </c>
      <c r="K91" s="12">
        <f>IF(AND(ISNUMBER($J91),$B91&lt;&gt;"",$B91='顧客カルテ'!$C$3),$J91,"")</f>
        <v/>
      </c>
    </row>
    <row r="92" ht="30" customHeight="1">
      <c r="A92" s="13" t="n"/>
      <c r="B92" s="7" t="n"/>
      <c r="C92" s="11">
        <f>IF($B92="","",IFERROR(INDEX('顧客一覧'!$C$5:$C$104,MATCH($B92,'顧客一覧'!$A$5:$A$104,0))&amp;"","※顧客一覧にないID"))</f>
        <v/>
      </c>
      <c r="D92" s="7" t="n"/>
      <c r="E92" s="7" t="n"/>
      <c r="F92" s="14" t="n"/>
      <c r="G92" s="14" t="n"/>
      <c r="H92" s="13" t="n"/>
      <c r="I92" s="31" t="n"/>
      <c r="J92" s="12">
        <f>IF(ISNUMBER($A92),$A92+ROW()/100000,"")</f>
        <v/>
      </c>
      <c r="K92" s="12">
        <f>IF(AND(ISNUMBER($J92),$B92&lt;&gt;"",$B92='顧客カルテ'!$C$3),$J92,"")</f>
        <v/>
      </c>
    </row>
    <row r="93" ht="30" customHeight="1">
      <c r="A93" s="13" t="n"/>
      <c r="B93" s="7" t="n"/>
      <c r="C93" s="11">
        <f>IF($B93="","",IFERROR(INDEX('顧客一覧'!$C$5:$C$104,MATCH($B93,'顧客一覧'!$A$5:$A$104,0))&amp;"","※顧客一覧にないID"))</f>
        <v/>
      </c>
      <c r="D93" s="7" t="n"/>
      <c r="E93" s="7" t="n"/>
      <c r="F93" s="14" t="n"/>
      <c r="G93" s="14" t="n"/>
      <c r="H93" s="13" t="n"/>
      <c r="I93" s="31" t="n"/>
      <c r="J93" s="12">
        <f>IF(ISNUMBER($A93),$A93+ROW()/100000,"")</f>
        <v/>
      </c>
      <c r="K93" s="12">
        <f>IF(AND(ISNUMBER($J93),$B93&lt;&gt;"",$B93='顧客カルテ'!$C$3),$J93,"")</f>
        <v/>
      </c>
    </row>
    <row r="94" ht="30" customHeight="1">
      <c r="A94" s="13" t="n"/>
      <c r="B94" s="7" t="n"/>
      <c r="C94" s="11">
        <f>IF($B94="","",IFERROR(INDEX('顧客一覧'!$C$5:$C$104,MATCH($B94,'顧客一覧'!$A$5:$A$104,0))&amp;"","※顧客一覧にないID"))</f>
        <v/>
      </c>
      <c r="D94" s="7" t="n"/>
      <c r="E94" s="7" t="n"/>
      <c r="F94" s="14" t="n"/>
      <c r="G94" s="14" t="n"/>
      <c r="H94" s="13" t="n"/>
      <c r="I94" s="31" t="n"/>
      <c r="J94" s="12">
        <f>IF(ISNUMBER($A94),$A94+ROW()/100000,"")</f>
        <v/>
      </c>
      <c r="K94" s="12">
        <f>IF(AND(ISNUMBER($J94),$B94&lt;&gt;"",$B94='顧客カルテ'!$C$3),$J94,"")</f>
        <v/>
      </c>
    </row>
    <row r="95" ht="30" customHeight="1">
      <c r="A95" s="13" t="n"/>
      <c r="B95" s="7" t="n"/>
      <c r="C95" s="11">
        <f>IF($B95="","",IFERROR(INDEX('顧客一覧'!$C$5:$C$104,MATCH($B95,'顧客一覧'!$A$5:$A$104,0))&amp;"","※顧客一覧にないID"))</f>
        <v/>
      </c>
      <c r="D95" s="7" t="n"/>
      <c r="E95" s="7" t="n"/>
      <c r="F95" s="14" t="n"/>
      <c r="G95" s="14" t="n"/>
      <c r="H95" s="13" t="n"/>
      <c r="I95" s="31" t="n"/>
      <c r="J95" s="12">
        <f>IF(ISNUMBER($A95),$A95+ROW()/100000,"")</f>
        <v/>
      </c>
      <c r="K95" s="12">
        <f>IF(AND(ISNUMBER($J95),$B95&lt;&gt;"",$B95='顧客カルテ'!$C$3),$J95,"")</f>
        <v/>
      </c>
    </row>
    <row r="96" ht="30" customHeight="1">
      <c r="A96" s="13" t="n"/>
      <c r="B96" s="7" t="n"/>
      <c r="C96" s="11">
        <f>IF($B96="","",IFERROR(INDEX('顧客一覧'!$C$5:$C$104,MATCH($B96,'顧客一覧'!$A$5:$A$104,0))&amp;"","※顧客一覧にないID"))</f>
        <v/>
      </c>
      <c r="D96" s="7" t="n"/>
      <c r="E96" s="7" t="n"/>
      <c r="F96" s="14" t="n"/>
      <c r="G96" s="14" t="n"/>
      <c r="H96" s="13" t="n"/>
      <c r="I96" s="31" t="n"/>
      <c r="J96" s="12">
        <f>IF(ISNUMBER($A96),$A96+ROW()/100000,"")</f>
        <v/>
      </c>
      <c r="K96" s="12">
        <f>IF(AND(ISNUMBER($J96),$B96&lt;&gt;"",$B96='顧客カルテ'!$C$3),$J96,"")</f>
        <v/>
      </c>
    </row>
    <row r="97" ht="30" customHeight="1">
      <c r="A97" s="13" t="n"/>
      <c r="B97" s="7" t="n"/>
      <c r="C97" s="11">
        <f>IF($B97="","",IFERROR(INDEX('顧客一覧'!$C$5:$C$104,MATCH($B97,'顧客一覧'!$A$5:$A$104,0))&amp;"","※顧客一覧にないID"))</f>
        <v/>
      </c>
      <c r="D97" s="7" t="n"/>
      <c r="E97" s="7" t="n"/>
      <c r="F97" s="14" t="n"/>
      <c r="G97" s="14" t="n"/>
      <c r="H97" s="13" t="n"/>
      <c r="I97" s="31" t="n"/>
      <c r="J97" s="12">
        <f>IF(ISNUMBER($A97),$A97+ROW()/100000,"")</f>
        <v/>
      </c>
      <c r="K97" s="12">
        <f>IF(AND(ISNUMBER($J97),$B97&lt;&gt;"",$B97='顧客カルテ'!$C$3),$J97,"")</f>
        <v/>
      </c>
    </row>
    <row r="98" ht="30" customHeight="1">
      <c r="A98" s="13" t="n"/>
      <c r="B98" s="7" t="n"/>
      <c r="C98" s="11">
        <f>IF($B98="","",IFERROR(INDEX('顧客一覧'!$C$5:$C$104,MATCH($B98,'顧客一覧'!$A$5:$A$104,0))&amp;"","※顧客一覧にないID"))</f>
        <v/>
      </c>
      <c r="D98" s="7" t="n"/>
      <c r="E98" s="7" t="n"/>
      <c r="F98" s="14" t="n"/>
      <c r="G98" s="14" t="n"/>
      <c r="H98" s="13" t="n"/>
      <c r="I98" s="31" t="n"/>
      <c r="J98" s="12">
        <f>IF(ISNUMBER($A98),$A98+ROW()/100000,"")</f>
        <v/>
      </c>
      <c r="K98" s="12">
        <f>IF(AND(ISNUMBER($J98),$B98&lt;&gt;"",$B98='顧客カルテ'!$C$3),$J98,"")</f>
        <v/>
      </c>
    </row>
    <row r="99" ht="30" customHeight="1">
      <c r="A99" s="13" t="n"/>
      <c r="B99" s="7" t="n"/>
      <c r="C99" s="11">
        <f>IF($B99="","",IFERROR(INDEX('顧客一覧'!$C$5:$C$104,MATCH($B99,'顧客一覧'!$A$5:$A$104,0))&amp;"","※顧客一覧にないID"))</f>
        <v/>
      </c>
      <c r="D99" s="7" t="n"/>
      <c r="E99" s="7" t="n"/>
      <c r="F99" s="14" t="n"/>
      <c r="G99" s="14" t="n"/>
      <c r="H99" s="13" t="n"/>
      <c r="I99" s="31" t="n"/>
      <c r="J99" s="12">
        <f>IF(ISNUMBER($A99),$A99+ROW()/100000,"")</f>
        <v/>
      </c>
      <c r="K99" s="12">
        <f>IF(AND(ISNUMBER($J99),$B99&lt;&gt;"",$B99='顧客カルテ'!$C$3),$J99,"")</f>
        <v/>
      </c>
    </row>
    <row r="100" ht="30" customHeight="1">
      <c r="A100" s="13" t="n"/>
      <c r="B100" s="7" t="n"/>
      <c r="C100" s="11">
        <f>IF($B100="","",IFERROR(INDEX('顧客一覧'!$C$5:$C$104,MATCH($B100,'顧客一覧'!$A$5:$A$104,0))&amp;"","※顧客一覧にないID"))</f>
        <v/>
      </c>
      <c r="D100" s="7" t="n"/>
      <c r="E100" s="7" t="n"/>
      <c r="F100" s="14" t="n"/>
      <c r="G100" s="14" t="n"/>
      <c r="H100" s="13" t="n"/>
      <c r="I100" s="31" t="n"/>
      <c r="J100" s="12">
        <f>IF(ISNUMBER($A100),$A100+ROW()/100000,"")</f>
        <v/>
      </c>
      <c r="K100" s="12">
        <f>IF(AND(ISNUMBER($J100),$B100&lt;&gt;"",$B100='顧客カルテ'!$C$3),$J100,"")</f>
        <v/>
      </c>
    </row>
    <row r="101" ht="30" customHeight="1">
      <c r="A101" s="13" t="n"/>
      <c r="B101" s="7" t="n"/>
      <c r="C101" s="11">
        <f>IF($B101="","",IFERROR(INDEX('顧客一覧'!$C$5:$C$104,MATCH($B101,'顧客一覧'!$A$5:$A$104,0))&amp;"","※顧客一覧にないID"))</f>
        <v/>
      </c>
      <c r="D101" s="7" t="n"/>
      <c r="E101" s="7" t="n"/>
      <c r="F101" s="14" t="n"/>
      <c r="G101" s="14" t="n"/>
      <c r="H101" s="13" t="n"/>
      <c r="I101" s="31" t="n"/>
      <c r="J101" s="12">
        <f>IF(ISNUMBER($A101),$A101+ROW()/100000,"")</f>
        <v/>
      </c>
      <c r="K101" s="12">
        <f>IF(AND(ISNUMBER($J101),$B101&lt;&gt;"",$B101='顧客カルテ'!$C$3),$J101,"")</f>
        <v/>
      </c>
    </row>
    <row r="102" ht="30" customHeight="1">
      <c r="A102" s="13" t="n"/>
      <c r="B102" s="7" t="n"/>
      <c r="C102" s="11">
        <f>IF($B102="","",IFERROR(INDEX('顧客一覧'!$C$5:$C$104,MATCH($B102,'顧客一覧'!$A$5:$A$104,0))&amp;"","※顧客一覧にないID"))</f>
        <v/>
      </c>
      <c r="D102" s="7" t="n"/>
      <c r="E102" s="7" t="n"/>
      <c r="F102" s="14" t="n"/>
      <c r="G102" s="14" t="n"/>
      <c r="H102" s="13" t="n"/>
      <c r="I102" s="31" t="n"/>
      <c r="J102" s="12">
        <f>IF(ISNUMBER($A102),$A102+ROW()/100000,"")</f>
        <v/>
      </c>
      <c r="K102" s="12">
        <f>IF(AND(ISNUMBER($J102),$B102&lt;&gt;"",$B102='顧客カルテ'!$C$3),$J102,"")</f>
        <v/>
      </c>
    </row>
    <row r="103" ht="30" customHeight="1">
      <c r="A103" s="13" t="n"/>
      <c r="B103" s="7" t="n"/>
      <c r="C103" s="11">
        <f>IF($B103="","",IFERROR(INDEX('顧客一覧'!$C$5:$C$104,MATCH($B103,'顧客一覧'!$A$5:$A$104,0))&amp;"","※顧客一覧にないID"))</f>
        <v/>
      </c>
      <c r="D103" s="7" t="n"/>
      <c r="E103" s="7" t="n"/>
      <c r="F103" s="14" t="n"/>
      <c r="G103" s="14" t="n"/>
      <c r="H103" s="13" t="n"/>
      <c r="I103" s="31" t="n"/>
      <c r="J103" s="12">
        <f>IF(ISNUMBER($A103),$A103+ROW()/100000,"")</f>
        <v/>
      </c>
      <c r="K103" s="12">
        <f>IF(AND(ISNUMBER($J103),$B103&lt;&gt;"",$B103='顧客カルテ'!$C$3),$J103,"")</f>
        <v/>
      </c>
    </row>
    <row r="104" ht="30" customHeight="1">
      <c r="A104" s="13" t="n"/>
      <c r="B104" s="7" t="n"/>
      <c r="C104" s="11">
        <f>IF($B104="","",IFERROR(INDEX('顧客一覧'!$C$5:$C$104,MATCH($B104,'顧客一覧'!$A$5:$A$104,0))&amp;"","※顧客一覧にないID"))</f>
        <v/>
      </c>
      <c r="D104" s="7" t="n"/>
      <c r="E104" s="7" t="n"/>
      <c r="F104" s="14" t="n"/>
      <c r="G104" s="14" t="n"/>
      <c r="H104" s="13" t="n"/>
      <c r="I104" s="31" t="n"/>
      <c r="J104" s="12">
        <f>IF(ISNUMBER($A104),$A104+ROW()/100000,"")</f>
        <v/>
      </c>
      <c r="K104" s="12">
        <f>IF(AND(ISNUMBER($J104),$B104&lt;&gt;"",$B104='顧客カルテ'!$C$3),$J104,"")</f>
        <v/>
      </c>
    </row>
    <row r="105" ht="30" customHeight="1">
      <c r="A105" s="13" t="n"/>
      <c r="B105" s="7" t="n"/>
      <c r="C105" s="11">
        <f>IF($B105="","",IFERROR(INDEX('顧客一覧'!$C$5:$C$104,MATCH($B105,'顧客一覧'!$A$5:$A$104,0))&amp;"","※顧客一覧にないID"))</f>
        <v/>
      </c>
      <c r="D105" s="7" t="n"/>
      <c r="E105" s="7" t="n"/>
      <c r="F105" s="14" t="n"/>
      <c r="G105" s="14" t="n"/>
      <c r="H105" s="13" t="n"/>
      <c r="I105" s="31" t="n"/>
      <c r="J105" s="12">
        <f>IF(ISNUMBER($A105),$A105+ROW()/100000,"")</f>
        <v/>
      </c>
      <c r="K105" s="12">
        <f>IF(AND(ISNUMBER($J105),$B105&lt;&gt;"",$B105='顧客カルテ'!$C$3),$J105,"")</f>
        <v/>
      </c>
    </row>
    <row r="106" ht="30" customHeight="1">
      <c r="A106" s="13" t="n"/>
      <c r="B106" s="7" t="n"/>
      <c r="C106" s="11">
        <f>IF($B106="","",IFERROR(INDEX('顧客一覧'!$C$5:$C$104,MATCH($B106,'顧客一覧'!$A$5:$A$104,0))&amp;"","※顧客一覧にないID"))</f>
        <v/>
      </c>
      <c r="D106" s="7" t="n"/>
      <c r="E106" s="7" t="n"/>
      <c r="F106" s="14" t="n"/>
      <c r="G106" s="14" t="n"/>
      <c r="H106" s="13" t="n"/>
      <c r="I106" s="31" t="n"/>
      <c r="J106" s="12">
        <f>IF(ISNUMBER($A106),$A106+ROW()/100000,"")</f>
        <v/>
      </c>
      <c r="K106" s="12">
        <f>IF(AND(ISNUMBER($J106),$B106&lt;&gt;"",$B106='顧客カルテ'!$C$3),$J106,"")</f>
        <v/>
      </c>
    </row>
    <row r="107" ht="30" customHeight="1">
      <c r="A107" s="13" t="n"/>
      <c r="B107" s="7" t="n"/>
      <c r="C107" s="11">
        <f>IF($B107="","",IFERROR(INDEX('顧客一覧'!$C$5:$C$104,MATCH($B107,'顧客一覧'!$A$5:$A$104,0))&amp;"","※顧客一覧にないID"))</f>
        <v/>
      </c>
      <c r="D107" s="7" t="n"/>
      <c r="E107" s="7" t="n"/>
      <c r="F107" s="14" t="n"/>
      <c r="G107" s="14" t="n"/>
      <c r="H107" s="13" t="n"/>
      <c r="I107" s="31" t="n"/>
      <c r="J107" s="12">
        <f>IF(ISNUMBER($A107),$A107+ROW()/100000,"")</f>
        <v/>
      </c>
      <c r="K107" s="12">
        <f>IF(AND(ISNUMBER($J107),$B107&lt;&gt;"",$B107='顧客カルテ'!$C$3),$J107,"")</f>
        <v/>
      </c>
    </row>
    <row r="108" ht="30" customHeight="1">
      <c r="A108" s="13" t="n"/>
      <c r="B108" s="7" t="n"/>
      <c r="C108" s="11">
        <f>IF($B108="","",IFERROR(INDEX('顧客一覧'!$C$5:$C$104,MATCH($B108,'顧客一覧'!$A$5:$A$104,0))&amp;"","※顧客一覧にないID"))</f>
        <v/>
      </c>
      <c r="D108" s="7" t="n"/>
      <c r="E108" s="7" t="n"/>
      <c r="F108" s="14" t="n"/>
      <c r="G108" s="14" t="n"/>
      <c r="H108" s="13" t="n"/>
      <c r="I108" s="31" t="n"/>
      <c r="J108" s="12">
        <f>IF(ISNUMBER($A108),$A108+ROW()/100000,"")</f>
        <v/>
      </c>
      <c r="K108" s="12">
        <f>IF(AND(ISNUMBER($J108),$B108&lt;&gt;"",$B108='顧客カルテ'!$C$3),$J108,"")</f>
        <v/>
      </c>
    </row>
    <row r="109" ht="30" customHeight="1">
      <c r="A109" s="13" t="n"/>
      <c r="B109" s="7" t="n"/>
      <c r="C109" s="11">
        <f>IF($B109="","",IFERROR(INDEX('顧客一覧'!$C$5:$C$104,MATCH($B109,'顧客一覧'!$A$5:$A$104,0))&amp;"","※顧客一覧にないID"))</f>
        <v/>
      </c>
      <c r="D109" s="7" t="n"/>
      <c r="E109" s="7" t="n"/>
      <c r="F109" s="14" t="n"/>
      <c r="G109" s="14" t="n"/>
      <c r="H109" s="13" t="n"/>
      <c r="I109" s="31" t="n"/>
      <c r="J109" s="12">
        <f>IF(ISNUMBER($A109),$A109+ROW()/100000,"")</f>
        <v/>
      </c>
      <c r="K109" s="12">
        <f>IF(AND(ISNUMBER($J109),$B109&lt;&gt;"",$B109='顧客カルテ'!$C$3),$J109,"")</f>
        <v/>
      </c>
    </row>
    <row r="110" ht="30" customHeight="1">
      <c r="A110" s="13" t="n"/>
      <c r="B110" s="7" t="n"/>
      <c r="C110" s="11">
        <f>IF($B110="","",IFERROR(INDEX('顧客一覧'!$C$5:$C$104,MATCH($B110,'顧客一覧'!$A$5:$A$104,0))&amp;"","※顧客一覧にないID"))</f>
        <v/>
      </c>
      <c r="D110" s="7" t="n"/>
      <c r="E110" s="7" t="n"/>
      <c r="F110" s="14" t="n"/>
      <c r="G110" s="14" t="n"/>
      <c r="H110" s="13" t="n"/>
      <c r="I110" s="31" t="n"/>
      <c r="J110" s="12">
        <f>IF(ISNUMBER($A110),$A110+ROW()/100000,"")</f>
        <v/>
      </c>
      <c r="K110" s="12">
        <f>IF(AND(ISNUMBER($J110),$B110&lt;&gt;"",$B110='顧客カルテ'!$C$3),$J110,"")</f>
        <v/>
      </c>
    </row>
    <row r="111" ht="30" customHeight="1">
      <c r="A111" s="13" t="n"/>
      <c r="B111" s="7" t="n"/>
      <c r="C111" s="11">
        <f>IF($B111="","",IFERROR(INDEX('顧客一覧'!$C$5:$C$104,MATCH($B111,'顧客一覧'!$A$5:$A$104,0))&amp;"","※顧客一覧にないID"))</f>
        <v/>
      </c>
      <c r="D111" s="7" t="n"/>
      <c r="E111" s="7" t="n"/>
      <c r="F111" s="14" t="n"/>
      <c r="G111" s="14" t="n"/>
      <c r="H111" s="13" t="n"/>
      <c r="I111" s="31" t="n"/>
      <c r="J111" s="12">
        <f>IF(ISNUMBER($A111),$A111+ROW()/100000,"")</f>
        <v/>
      </c>
      <c r="K111" s="12">
        <f>IF(AND(ISNUMBER($J111),$B111&lt;&gt;"",$B111='顧客カルテ'!$C$3),$J111,"")</f>
        <v/>
      </c>
    </row>
    <row r="112" ht="30" customHeight="1">
      <c r="A112" s="13" t="n"/>
      <c r="B112" s="7" t="n"/>
      <c r="C112" s="11">
        <f>IF($B112="","",IFERROR(INDEX('顧客一覧'!$C$5:$C$104,MATCH($B112,'顧客一覧'!$A$5:$A$104,0))&amp;"","※顧客一覧にないID"))</f>
        <v/>
      </c>
      <c r="D112" s="7" t="n"/>
      <c r="E112" s="7" t="n"/>
      <c r="F112" s="14" t="n"/>
      <c r="G112" s="14" t="n"/>
      <c r="H112" s="13" t="n"/>
      <c r="I112" s="31" t="n"/>
      <c r="J112" s="12">
        <f>IF(ISNUMBER($A112),$A112+ROW()/100000,"")</f>
        <v/>
      </c>
      <c r="K112" s="12">
        <f>IF(AND(ISNUMBER($J112),$B112&lt;&gt;"",$B112='顧客カルテ'!$C$3),$J112,"")</f>
        <v/>
      </c>
    </row>
    <row r="113" ht="30" customHeight="1">
      <c r="A113" s="13" t="n"/>
      <c r="B113" s="7" t="n"/>
      <c r="C113" s="11">
        <f>IF($B113="","",IFERROR(INDEX('顧客一覧'!$C$5:$C$104,MATCH($B113,'顧客一覧'!$A$5:$A$104,0))&amp;"","※顧客一覧にないID"))</f>
        <v/>
      </c>
      <c r="D113" s="7" t="n"/>
      <c r="E113" s="7" t="n"/>
      <c r="F113" s="14" t="n"/>
      <c r="G113" s="14" t="n"/>
      <c r="H113" s="13" t="n"/>
      <c r="I113" s="31" t="n"/>
      <c r="J113" s="12">
        <f>IF(ISNUMBER($A113),$A113+ROW()/100000,"")</f>
        <v/>
      </c>
      <c r="K113" s="12">
        <f>IF(AND(ISNUMBER($J113),$B113&lt;&gt;"",$B113='顧客カルテ'!$C$3),$J113,"")</f>
        <v/>
      </c>
    </row>
    <row r="114" ht="30" customHeight="1">
      <c r="A114" s="13" t="n"/>
      <c r="B114" s="7" t="n"/>
      <c r="C114" s="11">
        <f>IF($B114="","",IFERROR(INDEX('顧客一覧'!$C$5:$C$104,MATCH($B114,'顧客一覧'!$A$5:$A$104,0))&amp;"","※顧客一覧にないID"))</f>
        <v/>
      </c>
      <c r="D114" s="7" t="n"/>
      <c r="E114" s="7" t="n"/>
      <c r="F114" s="14" t="n"/>
      <c r="G114" s="14" t="n"/>
      <c r="H114" s="13" t="n"/>
      <c r="I114" s="31" t="n"/>
      <c r="J114" s="12">
        <f>IF(ISNUMBER($A114),$A114+ROW()/100000,"")</f>
        <v/>
      </c>
      <c r="K114" s="12">
        <f>IF(AND(ISNUMBER($J114),$B114&lt;&gt;"",$B114='顧客カルテ'!$C$3),$J114,"")</f>
        <v/>
      </c>
    </row>
    <row r="115" ht="30" customHeight="1">
      <c r="A115" s="13" t="n"/>
      <c r="B115" s="7" t="n"/>
      <c r="C115" s="11">
        <f>IF($B115="","",IFERROR(INDEX('顧客一覧'!$C$5:$C$104,MATCH($B115,'顧客一覧'!$A$5:$A$104,0))&amp;"","※顧客一覧にないID"))</f>
        <v/>
      </c>
      <c r="D115" s="7" t="n"/>
      <c r="E115" s="7" t="n"/>
      <c r="F115" s="14" t="n"/>
      <c r="G115" s="14" t="n"/>
      <c r="H115" s="13" t="n"/>
      <c r="I115" s="31" t="n"/>
      <c r="J115" s="12">
        <f>IF(ISNUMBER($A115),$A115+ROW()/100000,"")</f>
        <v/>
      </c>
      <c r="K115" s="12">
        <f>IF(AND(ISNUMBER($J115),$B115&lt;&gt;"",$B115='顧客カルテ'!$C$3),$J115,"")</f>
        <v/>
      </c>
    </row>
    <row r="116" ht="30" customHeight="1">
      <c r="A116" s="13" t="n"/>
      <c r="B116" s="7" t="n"/>
      <c r="C116" s="11">
        <f>IF($B116="","",IFERROR(INDEX('顧客一覧'!$C$5:$C$104,MATCH($B116,'顧客一覧'!$A$5:$A$104,0))&amp;"","※顧客一覧にないID"))</f>
        <v/>
      </c>
      <c r="D116" s="7" t="n"/>
      <c r="E116" s="7" t="n"/>
      <c r="F116" s="14" t="n"/>
      <c r="G116" s="14" t="n"/>
      <c r="H116" s="13" t="n"/>
      <c r="I116" s="31" t="n"/>
      <c r="J116" s="12">
        <f>IF(ISNUMBER($A116),$A116+ROW()/100000,"")</f>
        <v/>
      </c>
      <c r="K116" s="12">
        <f>IF(AND(ISNUMBER($J116),$B116&lt;&gt;"",$B116='顧客カルテ'!$C$3),$J116,"")</f>
        <v/>
      </c>
    </row>
    <row r="117" ht="30" customHeight="1">
      <c r="A117" s="13" t="n"/>
      <c r="B117" s="7" t="n"/>
      <c r="C117" s="11">
        <f>IF($B117="","",IFERROR(INDEX('顧客一覧'!$C$5:$C$104,MATCH($B117,'顧客一覧'!$A$5:$A$104,0))&amp;"","※顧客一覧にないID"))</f>
        <v/>
      </c>
      <c r="D117" s="7" t="n"/>
      <c r="E117" s="7" t="n"/>
      <c r="F117" s="14" t="n"/>
      <c r="G117" s="14" t="n"/>
      <c r="H117" s="13" t="n"/>
      <c r="I117" s="31" t="n"/>
      <c r="J117" s="12">
        <f>IF(ISNUMBER($A117),$A117+ROW()/100000,"")</f>
        <v/>
      </c>
      <c r="K117" s="12">
        <f>IF(AND(ISNUMBER($J117),$B117&lt;&gt;"",$B117='顧客カルテ'!$C$3),$J117,"")</f>
        <v/>
      </c>
    </row>
    <row r="118" ht="30" customHeight="1">
      <c r="A118" s="13" t="n"/>
      <c r="B118" s="7" t="n"/>
      <c r="C118" s="11">
        <f>IF($B118="","",IFERROR(INDEX('顧客一覧'!$C$5:$C$104,MATCH($B118,'顧客一覧'!$A$5:$A$104,0))&amp;"","※顧客一覧にないID"))</f>
        <v/>
      </c>
      <c r="D118" s="7" t="n"/>
      <c r="E118" s="7" t="n"/>
      <c r="F118" s="14" t="n"/>
      <c r="G118" s="14" t="n"/>
      <c r="H118" s="13" t="n"/>
      <c r="I118" s="31" t="n"/>
      <c r="J118" s="12">
        <f>IF(ISNUMBER($A118),$A118+ROW()/100000,"")</f>
        <v/>
      </c>
      <c r="K118" s="12">
        <f>IF(AND(ISNUMBER($J118),$B118&lt;&gt;"",$B118='顧客カルテ'!$C$3),$J118,"")</f>
        <v/>
      </c>
    </row>
    <row r="119" ht="30" customHeight="1">
      <c r="A119" s="13" t="n"/>
      <c r="B119" s="7" t="n"/>
      <c r="C119" s="11">
        <f>IF($B119="","",IFERROR(INDEX('顧客一覧'!$C$5:$C$104,MATCH($B119,'顧客一覧'!$A$5:$A$104,0))&amp;"","※顧客一覧にないID"))</f>
        <v/>
      </c>
      <c r="D119" s="7" t="n"/>
      <c r="E119" s="7" t="n"/>
      <c r="F119" s="14" t="n"/>
      <c r="G119" s="14" t="n"/>
      <c r="H119" s="13" t="n"/>
      <c r="I119" s="31" t="n"/>
      <c r="J119" s="12">
        <f>IF(ISNUMBER($A119),$A119+ROW()/100000,"")</f>
        <v/>
      </c>
      <c r="K119" s="12">
        <f>IF(AND(ISNUMBER($J119),$B119&lt;&gt;"",$B119='顧客カルテ'!$C$3),$J119,"")</f>
        <v/>
      </c>
    </row>
    <row r="120" ht="30" customHeight="1">
      <c r="A120" s="13" t="n"/>
      <c r="B120" s="7" t="n"/>
      <c r="C120" s="11">
        <f>IF($B120="","",IFERROR(INDEX('顧客一覧'!$C$5:$C$104,MATCH($B120,'顧客一覧'!$A$5:$A$104,0))&amp;"","※顧客一覧にないID"))</f>
        <v/>
      </c>
      <c r="D120" s="7" t="n"/>
      <c r="E120" s="7" t="n"/>
      <c r="F120" s="14" t="n"/>
      <c r="G120" s="14" t="n"/>
      <c r="H120" s="13" t="n"/>
      <c r="I120" s="31" t="n"/>
      <c r="J120" s="12">
        <f>IF(ISNUMBER($A120),$A120+ROW()/100000,"")</f>
        <v/>
      </c>
      <c r="K120" s="12">
        <f>IF(AND(ISNUMBER($J120),$B120&lt;&gt;"",$B120='顧客カルテ'!$C$3),$J120,"")</f>
        <v/>
      </c>
    </row>
    <row r="121" ht="30" customHeight="1">
      <c r="A121" s="13" t="n"/>
      <c r="B121" s="7" t="n"/>
      <c r="C121" s="11">
        <f>IF($B121="","",IFERROR(INDEX('顧客一覧'!$C$5:$C$104,MATCH($B121,'顧客一覧'!$A$5:$A$104,0))&amp;"","※顧客一覧にないID"))</f>
        <v/>
      </c>
      <c r="D121" s="7" t="n"/>
      <c r="E121" s="7" t="n"/>
      <c r="F121" s="14" t="n"/>
      <c r="G121" s="14" t="n"/>
      <c r="H121" s="13" t="n"/>
      <c r="I121" s="31" t="n"/>
      <c r="J121" s="12">
        <f>IF(ISNUMBER($A121),$A121+ROW()/100000,"")</f>
        <v/>
      </c>
      <c r="K121" s="12">
        <f>IF(AND(ISNUMBER($J121),$B121&lt;&gt;"",$B121='顧客カルテ'!$C$3),$J121,"")</f>
        <v/>
      </c>
    </row>
    <row r="122" ht="30" customHeight="1">
      <c r="A122" s="13" t="n"/>
      <c r="B122" s="7" t="n"/>
      <c r="C122" s="11">
        <f>IF($B122="","",IFERROR(INDEX('顧客一覧'!$C$5:$C$104,MATCH($B122,'顧客一覧'!$A$5:$A$104,0))&amp;"","※顧客一覧にないID"))</f>
        <v/>
      </c>
      <c r="D122" s="7" t="n"/>
      <c r="E122" s="7" t="n"/>
      <c r="F122" s="14" t="n"/>
      <c r="G122" s="14" t="n"/>
      <c r="H122" s="13" t="n"/>
      <c r="I122" s="31" t="n"/>
      <c r="J122" s="12">
        <f>IF(ISNUMBER($A122),$A122+ROW()/100000,"")</f>
        <v/>
      </c>
      <c r="K122" s="12">
        <f>IF(AND(ISNUMBER($J122),$B122&lt;&gt;"",$B122='顧客カルテ'!$C$3),$J122,"")</f>
        <v/>
      </c>
    </row>
    <row r="123" ht="30" customHeight="1">
      <c r="A123" s="13" t="n"/>
      <c r="B123" s="7" t="n"/>
      <c r="C123" s="11">
        <f>IF($B123="","",IFERROR(INDEX('顧客一覧'!$C$5:$C$104,MATCH($B123,'顧客一覧'!$A$5:$A$104,0))&amp;"","※顧客一覧にないID"))</f>
        <v/>
      </c>
      <c r="D123" s="7" t="n"/>
      <c r="E123" s="7" t="n"/>
      <c r="F123" s="14" t="n"/>
      <c r="G123" s="14" t="n"/>
      <c r="H123" s="13" t="n"/>
      <c r="I123" s="31" t="n"/>
      <c r="J123" s="12">
        <f>IF(ISNUMBER($A123),$A123+ROW()/100000,"")</f>
        <v/>
      </c>
      <c r="K123" s="12">
        <f>IF(AND(ISNUMBER($J123),$B123&lt;&gt;"",$B123='顧客カルテ'!$C$3),$J123,"")</f>
        <v/>
      </c>
    </row>
    <row r="124" ht="30" customHeight="1">
      <c r="A124" s="13" t="n"/>
      <c r="B124" s="7" t="n"/>
      <c r="C124" s="11">
        <f>IF($B124="","",IFERROR(INDEX('顧客一覧'!$C$5:$C$104,MATCH($B124,'顧客一覧'!$A$5:$A$104,0))&amp;"","※顧客一覧にないID"))</f>
        <v/>
      </c>
      <c r="D124" s="7" t="n"/>
      <c r="E124" s="7" t="n"/>
      <c r="F124" s="14" t="n"/>
      <c r="G124" s="14" t="n"/>
      <c r="H124" s="13" t="n"/>
      <c r="I124" s="31" t="n"/>
      <c r="J124" s="12">
        <f>IF(ISNUMBER($A124),$A124+ROW()/100000,"")</f>
        <v/>
      </c>
      <c r="K124" s="12">
        <f>IF(AND(ISNUMBER($J124),$B124&lt;&gt;"",$B124='顧客カルテ'!$C$3),$J124,"")</f>
        <v/>
      </c>
    </row>
    <row r="125" ht="30" customHeight="1">
      <c r="A125" s="13" t="n"/>
      <c r="B125" s="7" t="n"/>
      <c r="C125" s="11">
        <f>IF($B125="","",IFERROR(INDEX('顧客一覧'!$C$5:$C$104,MATCH($B125,'顧客一覧'!$A$5:$A$104,0))&amp;"","※顧客一覧にないID"))</f>
        <v/>
      </c>
      <c r="D125" s="7" t="n"/>
      <c r="E125" s="7" t="n"/>
      <c r="F125" s="14" t="n"/>
      <c r="G125" s="14" t="n"/>
      <c r="H125" s="13" t="n"/>
      <c r="I125" s="31" t="n"/>
      <c r="J125" s="12">
        <f>IF(ISNUMBER($A125),$A125+ROW()/100000,"")</f>
        <v/>
      </c>
      <c r="K125" s="12">
        <f>IF(AND(ISNUMBER($J125),$B125&lt;&gt;"",$B125='顧客カルテ'!$C$3),$J125,"")</f>
        <v/>
      </c>
    </row>
    <row r="126" ht="30" customHeight="1">
      <c r="A126" s="13" t="n"/>
      <c r="B126" s="7" t="n"/>
      <c r="C126" s="11">
        <f>IF($B126="","",IFERROR(INDEX('顧客一覧'!$C$5:$C$104,MATCH($B126,'顧客一覧'!$A$5:$A$104,0))&amp;"","※顧客一覧にないID"))</f>
        <v/>
      </c>
      <c r="D126" s="7" t="n"/>
      <c r="E126" s="7" t="n"/>
      <c r="F126" s="14" t="n"/>
      <c r="G126" s="14" t="n"/>
      <c r="H126" s="13" t="n"/>
      <c r="I126" s="31" t="n"/>
      <c r="J126" s="12">
        <f>IF(ISNUMBER($A126),$A126+ROW()/100000,"")</f>
        <v/>
      </c>
      <c r="K126" s="12">
        <f>IF(AND(ISNUMBER($J126),$B126&lt;&gt;"",$B126='顧客カルテ'!$C$3),$J126,"")</f>
        <v/>
      </c>
    </row>
    <row r="127" ht="30" customHeight="1">
      <c r="A127" s="13" t="n"/>
      <c r="B127" s="7" t="n"/>
      <c r="C127" s="11">
        <f>IF($B127="","",IFERROR(INDEX('顧客一覧'!$C$5:$C$104,MATCH($B127,'顧客一覧'!$A$5:$A$104,0))&amp;"","※顧客一覧にないID"))</f>
        <v/>
      </c>
      <c r="D127" s="7" t="n"/>
      <c r="E127" s="7" t="n"/>
      <c r="F127" s="14" t="n"/>
      <c r="G127" s="14" t="n"/>
      <c r="H127" s="13" t="n"/>
      <c r="I127" s="31" t="n"/>
      <c r="J127" s="12">
        <f>IF(ISNUMBER($A127),$A127+ROW()/100000,"")</f>
        <v/>
      </c>
      <c r="K127" s="12">
        <f>IF(AND(ISNUMBER($J127),$B127&lt;&gt;"",$B127='顧客カルテ'!$C$3),$J127,"")</f>
        <v/>
      </c>
    </row>
    <row r="128" ht="30" customHeight="1">
      <c r="A128" s="13" t="n"/>
      <c r="B128" s="7" t="n"/>
      <c r="C128" s="11">
        <f>IF($B128="","",IFERROR(INDEX('顧客一覧'!$C$5:$C$104,MATCH($B128,'顧客一覧'!$A$5:$A$104,0))&amp;"","※顧客一覧にないID"))</f>
        <v/>
      </c>
      <c r="D128" s="7" t="n"/>
      <c r="E128" s="7" t="n"/>
      <c r="F128" s="14" t="n"/>
      <c r="G128" s="14" t="n"/>
      <c r="H128" s="13" t="n"/>
      <c r="I128" s="31" t="n"/>
      <c r="J128" s="12">
        <f>IF(ISNUMBER($A128),$A128+ROW()/100000,"")</f>
        <v/>
      </c>
      <c r="K128" s="12">
        <f>IF(AND(ISNUMBER($J128),$B128&lt;&gt;"",$B128='顧客カルテ'!$C$3),$J128,"")</f>
        <v/>
      </c>
    </row>
    <row r="129" ht="30" customHeight="1">
      <c r="A129" s="13" t="n"/>
      <c r="B129" s="7" t="n"/>
      <c r="C129" s="11">
        <f>IF($B129="","",IFERROR(INDEX('顧客一覧'!$C$5:$C$104,MATCH($B129,'顧客一覧'!$A$5:$A$104,0))&amp;"","※顧客一覧にないID"))</f>
        <v/>
      </c>
      <c r="D129" s="7" t="n"/>
      <c r="E129" s="7" t="n"/>
      <c r="F129" s="14" t="n"/>
      <c r="G129" s="14" t="n"/>
      <c r="H129" s="13" t="n"/>
      <c r="I129" s="31" t="n"/>
      <c r="J129" s="12">
        <f>IF(ISNUMBER($A129),$A129+ROW()/100000,"")</f>
        <v/>
      </c>
      <c r="K129" s="12">
        <f>IF(AND(ISNUMBER($J129),$B129&lt;&gt;"",$B129='顧客カルテ'!$C$3),$J129,"")</f>
        <v/>
      </c>
    </row>
    <row r="130" ht="30" customHeight="1">
      <c r="A130" s="13" t="n"/>
      <c r="B130" s="7" t="n"/>
      <c r="C130" s="11">
        <f>IF($B130="","",IFERROR(INDEX('顧客一覧'!$C$5:$C$104,MATCH($B130,'顧客一覧'!$A$5:$A$104,0))&amp;"","※顧客一覧にないID"))</f>
        <v/>
      </c>
      <c r="D130" s="7" t="n"/>
      <c r="E130" s="7" t="n"/>
      <c r="F130" s="14" t="n"/>
      <c r="G130" s="14" t="n"/>
      <c r="H130" s="13" t="n"/>
      <c r="I130" s="31" t="n"/>
      <c r="J130" s="12">
        <f>IF(ISNUMBER($A130),$A130+ROW()/100000,"")</f>
        <v/>
      </c>
      <c r="K130" s="12">
        <f>IF(AND(ISNUMBER($J130),$B130&lt;&gt;"",$B130='顧客カルテ'!$C$3),$J130,"")</f>
        <v/>
      </c>
    </row>
    <row r="131" ht="30" customHeight="1">
      <c r="A131" s="13" t="n"/>
      <c r="B131" s="7" t="n"/>
      <c r="C131" s="11">
        <f>IF($B131="","",IFERROR(INDEX('顧客一覧'!$C$5:$C$104,MATCH($B131,'顧客一覧'!$A$5:$A$104,0))&amp;"","※顧客一覧にないID"))</f>
        <v/>
      </c>
      <c r="D131" s="7" t="n"/>
      <c r="E131" s="7" t="n"/>
      <c r="F131" s="14" t="n"/>
      <c r="G131" s="14" t="n"/>
      <c r="H131" s="13" t="n"/>
      <c r="I131" s="31" t="n"/>
      <c r="J131" s="12">
        <f>IF(ISNUMBER($A131),$A131+ROW()/100000,"")</f>
        <v/>
      </c>
      <c r="K131" s="12">
        <f>IF(AND(ISNUMBER($J131),$B131&lt;&gt;"",$B131='顧客カルテ'!$C$3),$J131,"")</f>
        <v/>
      </c>
    </row>
    <row r="132" ht="30" customHeight="1">
      <c r="A132" s="13" t="n"/>
      <c r="B132" s="7" t="n"/>
      <c r="C132" s="11">
        <f>IF($B132="","",IFERROR(INDEX('顧客一覧'!$C$5:$C$104,MATCH($B132,'顧客一覧'!$A$5:$A$104,0))&amp;"","※顧客一覧にないID"))</f>
        <v/>
      </c>
      <c r="D132" s="7" t="n"/>
      <c r="E132" s="7" t="n"/>
      <c r="F132" s="14" t="n"/>
      <c r="G132" s="14" t="n"/>
      <c r="H132" s="13" t="n"/>
      <c r="I132" s="31" t="n"/>
      <c r="J132" s="12">
        <f>IF(ISNUMBER($A132),$A132+ROW()/100000,"")</f>
        <v/>
      </c>
      <c r="K132" s="12">
        <f>IF(AND(ISNUMBER($J132),$B132&lt;&gt;"",$B132='顧客カルテ'!$C$3),$J132,"")</f>
        <v/>
      </c>
    </row>
    <row r="133" ht="30" customHeight="1">
      <c r="A133" s="13" t="n"/>
      <c r="B133" s="7" t="n"/>
      <c r="C133" s="11">
        <f>IF($B133="","",IFERROR(INDEX('顧客一覧'!$C$5:$C$104,MATCH($B133,'顧客一覧'!$A$5:$A$104,0))&amp;"","※顧客一覧にないID"))</f>
        <v/>
      </c>
      <c r="D133" s="7" t="n"/>
      <c r="E133" s="7" t="n"/>
      <c r="F133" s="14" t="n"/>
      <c r="G133" s="14" t="n"/>
      <c r="H133" s="13" t="n"/>
      <c r="I133" s="31" t="n"/>
      <c r="J133" s="12">
        <f>IF(ISNUMBER($A133),$A133+ROW()/100000,"")</f>
        <v/>
      </c>
      <c r="K133" s="12">
        <f>IF(AND(ISNUMBER($J133),$B133&lt;&gt;"",$B133='顧客カルテ'!$C$3),$J133,"")</f>
        <v/>
      </c>
    </row>
    <row r="134" ht="30" customHeight="1">
      <c r="A134" s="13" t="n"/>
      <c r="B134" s="7" t="n"/>
      <c r="C134" s="11">
        <f>IF($B134="","",IFERROR(INDEX('顧客一覧'!$C$5:$C$104,MATCH($B134,'顧客一覧'!$A$5:$A$104,0))&amp;"","※顧客一覧にないID"))</f>
        <v/>
      </c>
      <c r="D134" s="7" t="n"/>
      <c r="E134" s="7" t="n"/>
      <c r="F134" s="14" t="n"/>
      <c r="G134" s="14" t="n"/>
      <c r="H134" s="13" t="n"/>
      <c r="I134" s="31" t="n"/>
      <c r="J134" s="12">
        <f>IF(ISNUMBER($A134),$A134+ROW()/100000,"")</f>
        <v/>
      </c>
      <c r="K134" s="12">
        <f>IF(AND(ISNUMBER($J134),$B134&lt;&gt;"",$B134='顧客カルテ'!$C$3),$J134,"")</f>
        <v/>
      </c>
    </row>
    <row r="135" ht="30" customHeight="1">
      <c r="A135" s="13" t="n"/>
      <c r="B135" s="7" t="n"/>
      <c r="C135" s="11">
        <f>IF($B135="","",IFERROR(INDEX('顧客一覧'!$C$5:$C$104,MATCH($B135,'顧客一覧'!$A$5:$A$104,0))&amp;"","※顧客一覧にないID"))</f>
        <v/>
      </c>
      <c r="D135" s="7" t="n"/>
      <c r="E135" s="7" t="n"/>
      <c r="F135" s="14" t="n"/>
      <c r="G135" s="14" t="n"/>
      <c r="H135" s="13" t="n"/>
      <c r="I135" s="31" t="n"/>
      <c r="J135" s="12">
        <f>IF(ISNUMBER($A135),$A135+ROW()/100000,"")</f>
        <v/>
      </c>
      <c r="K135" s="12">
        <f>IF(AND(ISNUMBER($J135),$B135&lt;&gt;"",$B135='顧客カルテ'!$C$3),$J135,"")</f>
        <v/>
      </c>
    </row>
    <row r="136" ht="30" customHeight="1">
      <c r="A136" s="13" t="n"/>
      <c r="B136" s="7" t="n"/>
      <c r="C136" s="11">
        <f>IF($B136="","",IFERROR(INDEX('顧客一覧'!$C$5:$C$104,MATCH($B136,'顧客一覧'!$A$5:$A$104,0))&amp;"","※顧客一覧にないID"))</f>
        <v/>
      </c>
      <c r="D136" s="7" t="n"/>
      <c r="E136" s="7" t="n"/>
      <c r="F136" s="14" t="n"/>
      <c r="G136" s="14" t="n"/>
      <c r="H136" s="13" t="n"/>
      <c r="I136" s="31" t="n"/>
      <c r="J136" s="12">
        <f>IF(ISNUMBER($A136),$A136+ROW()/100000,"")</f>
        <v/>
      </c>
      <c r="K136" s="12">
        <f>IF(AND(ISNUMBER($J136),$B136&lt;&gt;"",$B136='顧客カルテ'!$C$3),$J136,"")</f>
        <v/>
      </c>
    </row>
    <row r="137" ht="30" customHeight="1">
      <c r="A137" s="13" t="n"/>
      <c r="B137" s="7" t="n"/>
      <c r="C137" s="11">
        <f>IF($B137="","",IFERROR(INDEX('顧客一覧'!$C$5:$C$104,MATCH($B137,'顧客一覧'!$A$5:$A$104,0))&amp;"","※顧客一覧にないID"))</f>
        <v/>
      </c>
      <c r="D137" s="7" t="n"/>
      <c r="E137" s="7" t="n"/>
      <c r="F137" s="14" t="n"/>
      <c r="G137" s="14" t="n"/>
      <c r="H137" s="13" t="n"/>
      <c r="I137" s="31" t="n"/>
      <c r="J137" s="12">
        <f>IF(ISNUMBER($A137),$A137+ROW()/100000,"")</f>
        <v/>
      </c>
      <c r="K137" s="12">
        <f>IF(AND(ISNUMBER($J137),$B137&lt;&gt;"",$B137='顧客カルテ'!$C$3),$J137,"")</f>
        <v/>
      </c>
    </row>
    <row r="138" ht="30" customHeight="1">
      <c r="A138" s="13" t="n"/>
      <c r="B138" s="7" t="n"/>
      <c r="C138" s="11">
        <f>IF($B138="","",IFERROR(INDEX('顧客一覧'!$C$5:$C$104,MATCH($B138,'顧客一覧'!$A$5:$A$104,0))&amp;"","※顧客一覧にないID"))</f>
        <v/>
      </c>
      <c r="D138" s="7" t="n"/>
      <c r="E138" s="7" t="n"/>
      <c r="F138" s="14" t="n"/>
      <c r="G138" s="14" t="n"/>
      <c r="H138" s="13" t="n"/>
      <c r="I138" s="31" t="n"/>
      <c r="J138" s="12">
        <f>IF(ISNUMBER($A138),$A138+ROW()/100000,"")</f>
        <v/>
      </c>
      <c r="K138" s="12">
        <f>IF(AND(ISNUMBER($J138),$B138&lt;&gt;"",$B138='顧客カルテ'!$C$3),$J138,"")</f>
        <v/>
      </c>
    </row>
    <row r="139" ht="30" customHeight="1">
      <c r="A139" s="13" t="n"/>
      <c r="B139" s="7" t="n"/>
      <c r="C139" s="11">
        <f>IF($B139="","",IFERROR(INDEX('顧客一覧'!$C$5:$C$104,MATCH($B139,'顧客一覧'!$A$5:$A$104,0))&amp;"","※顧客一覧にないID"))</f>
        <v/>
      </c>
      <c r="D139" s="7" t="n"/>
      <c r="E139" s="7" t="n"/>
      <c r="F139" s="14" t="n"/>
      <c r="G139" s="14" t="n"/>
      <c r="H139" s="13" t="n"/>
      <c r="I139" s="31" t="n"/>
      <c r="J139" s="12">
        <f>IF(ISNUMBER($A139),$A139+ROW()/100000,"")</f>
        <v/>
      </c>
      <c r="K139" s="12">
        <f>IF(AND(ISNUMBER($J139),$B139&lt;&gt;"",$B139='顧客カルテ'!$C$3),$J139,"")</f>
        <v/>
      </c>
    </row>
    <row r="140" ht="30" customHeight="1">
      <c r="A140" s="13" t="n"/>
      <c r="B140" s="7" t="n"/>
      <c r="C140" s="11">
        <f>IF($B140="","",IFERROR(INDEX('顧客一覧'!$C$5:$C$104,MATCH($B140,'顧客一覧'!$A$5:$A$104,0))&amp;"","※顧客一覧にないID"))</f>
        <v/>
      </c>
      <c r="D140" s="7" t="n"/>
      <c r="E140" s="7" t="n"/>
      <c r="F140" s="14" t="n"/>
      <c r="G140" s="14" t="n"/>
      <c r="H140" s="13" t="n"/>
      <c r="I140" s="31" t="n"/>
      <c r="J140" s="12">
        <f>IF(ISNUMBER($A140),$A140+ROW()/100000,"")</f>
        <v/>
      </c>
      <c r="K140" s="12">
        <f>IF(AND(ISNUMBER($J140),$B140&lt;&gt;"",$B140='顧客カルテ'!$C$3),$J140,"")</f>
        <v/>
      </c>
    </row>
    <row r="141" ht="30" customHeight="1">
      <c r="A141" s="13" t="n"/>
      <c r="B141" s="7" t="n"/>
      <c r="C141" s="11">
        <f>IF($B141="","",IFERROR(INDEX('顧客一覧'!$C$5:$C$104,MATCH($B141,'顧客一覧'!$A$5:$A$104,0))&amp;"","※顧客一覧にないID"))</f>
        <v/>
      </c>
      <c r="D141" s="7" t="n"/>
      <c r="E141" s="7" t="n"/>
      <c r="F141" s="14" t="n"/>
      <c r="G141" s="14" t="n"/>
      <c r="H141" s="13" t="n"/>
      <c r="I141" s="31" t="n"/>
      <c r="J141" s="12">
        <f>IF(ISNUMBER($A141),$A141+ROW()/100000,"")</f>
        <v/>
      </c>
      <c r="K141" s="12">
        <f>IF(AND(ISNUMBER($J141),$B141&lt;&gt;"",$B141='顧客カルテ'!$C$3),$J141,"")</f>
        <v/>
      </c>
    </row>
    <row r="142" ht="30" customHeight="1">
      <c r="A142" s="13" t="n"/>
      <c r="B142" s="7" t="n"/>
      <c r="C142" s="11">
        <f>IF($B142="","",IFERROR(INDEX('顧客一覧'!$C$5:$C$104,MATCH($B142,'顧客一覧'!$A$5:$A$104,0))&amp;"","※顧客一覧にないID"))</f>
        <v/>
      </c>
      <c r="D142" s="7" t="n"/>
      <c r="E142" s="7" t="n"/>
      <c r="F142" s="14" t="n"/>
      <c r="G142" s="14" t="n"/>
      <c r="H142" s="13" t="n"/>
      <c r="I142" s="31" t="n"/>
      <c r="J142" s="12">
        <f>IF(ISNUMBER($A142),$A142+ROW()/100000,"")</f>
        <v/>
      </c>
      <c r="K142" s="12">
        <f>IF(AND(ISNUMBER($J142),$B142&lt;&gt;"",$B142='顧客カルテ'!$C$3),$J142,"")</f>
        <v/>
      </c>
    </row>
    <row r="143" ht="30" customHeight="1">
      <c r="A143" s="13" t="n"/>
      <c r="B143" s="7" t="n"/>
      <c r="C143" s="11">
        <f>IF($B143="","",IFERROR(INDEX('顧客一覧'!$C$5:$C$104,MATCH($B143,'顧客一覧'!$A$5:$A$104,0))&amp;"","※顧客一覧にないID"))</f>
        <v/>
      </c>
      <c r="D143" s="7" t="n"/>
      <c r="E143" s="7" t="n"/>
      <c r="F143" s="14" t="n"/>
      <c r="G143" s="14" t="n"/>
      <c r="H143" s="13" t="n"/>
      <c r="I143" s="31" t="n"/>
      <c r="J143" s="12">
        <f>IF(ISNUMBER($A143),$A143+ROW()/100000,"")</f>
        <v/>
      </c>
      <c r="K143" s="12">
        <f>IF(AND(ISNUMBER($J143),$B143&lt;&gt;"",$B143='顧客カルテ'!$C$3),$J143,"")</f>
        <v/>
      </c>
    </row>
    <row r="144" ht="30" customHeight="1">
      <c r="A144" s="13" t="n"/>
      <c r="B144" s="7" t="n"/>
      <c r="C144" s="11">
        <f>IF($B144="","",IFERROR(INDEX('顧客一覧'!$C$5:$C$104,MATCH($B144,'顧客一覧'!$A$5:$A$104,0))&amp;"","※顧客一覧にないID"))</f>
        <v/>
      </c>
      <c r="D144" s="7" t="n"/>
      <c r="E144" s="7" t="n"/>
      <c r="F144" s="14" t="n"/>
      <c r="G144" s="14" t="n"/>
      <c r="H144" s="13" t="n"/>
      <c r="I144" s="31" t="n"/>
      <c r="J144" s="12">
        <f>IF(ISNUMBER($A144),$A144+ROW()/100000,"")</f>
        <v/>
      </c>
      <c r="K144" s="12">
        <f>IF(AND(ISNUMBER($J144),$B144&lt;&gt;"",$B144='顧客カルテ'!$C$3),$J144,"")</f>
        <v/>
      </c>
    </row>
    <row r="145" ht="30" customHeight="1">
      <c r="A145" s="13" t="n"/>
      <c r="B145" s="7" t="n"/>
      <c r="C145" s="11">
        <f>IF($B145="","",IFERROR(INDEX('顧客一覧'!$C$5:$C$104,MATCH($B145,'顧客一覧'!$A$5:$A$104,0))&amp;"","※顧客一覧にないID"))</f>
        <v/>
      </c>
      <c r="D145" s="7" t="n"/>
      <c r="E145" s="7" t="n"/>
      <c r="F145" s="14" t="n"/>
      <c r="G145" s="14" t="n"/>
      <c r="H145" s="13" t="n"/>
      <c r="I145" s="31" t="n"/>
      <c r="J145" s="12">
        <f>IF(ISNUMBER($A145),$A145+ROW()/100000,"")</f>
        <v/>
      </c>
      <c r="K145" s="12">
        <f>IF(AND(ISNUMBER($J145),$B145&lt;&gt;"",$B145='顧客カルテ'!$C$3),$J145,"")</f>
        <v/>
      </c>
    </row>
    <row r="146" ht="30" customHeight="1">
      <c r="A146" s="13" t="n"/>
      <c r="B146" s="7" t="n"/>
      <c r="C146" s="11">
        <f>IF($B146="","",IFERROR(INDEX('顧客一覧'!$C$5:$C$104,MATCH($B146,'顧客一覧'!$A$5:$A$104,0))&amp;"","※顧客一覧にないID"))</f>
        <v/>
      </c>
      <c r="D146" s="7" t="n"/>
      <c r="E146" s="7" t="n"/>
      <c r="F146" s="14" t="n"/>
      <c r="G146" s="14" t="n"/>
      <c r="H146" s="13" t="n"/>
      <c r="I146" s="31" t="n"/>
      <c r="J146" s="12">
        <f>IF(ISNUMBER($A146),$A146+ROW()/100000,"")</f>
        <v/>
      </c>
      <c r="K146" s="12">
        <f>IF(AND(ISNUMBER($J146),$B146&lt;&gt;"",$B146='顧客カルテ'!$C$3),$J146,"")</f>
        <v/>
      </c>
    </row>
    <row r="147" ht="30" customHeight="1">
      <c r="A147" s="13" t="n"/>
      <c r="B147" s="7" t="n"/>
      <c r="C147" s="11">
        <f>IF($B147="","",IFERROR(INDEX('顧客一覧'!$C$5:$C$104,MATCH($B147,'顧客一覧'!$A$5:$A$104,0))&amp;"","※顧客一覧にないID"))</f>
        <v/>
      </c>
      <c r="D147" s="7" t="n"/>
      <c r="E147" s="7" t="n"/>
      <c r="F147" s="14" t="n"/>
      <c r="G147" s="14" t="n"/>
      <c r="H147" s="13" t="n"/>
      <c r="I147" s="31" t="n"/>
      <c r="J147" s="12">
        <f>IF(ISNUMBER($A147),$A147+ROW()/100000,"")</f>
        <v/>
      </c>
      <c r="K147" s="12">
        <f>IF(AND(ISNUMBER($J147),$B147&lt;&gt;"",$B147='顧客カルテ'!$C$3),$J147,"")</f>
        <v/>
      </c>
    </row>
    <row r="148" ht="30" customHeight="1">
      <c r="A148" s="13" t="n"/>
      <c r="B148" s="7" t="n"/>
      <c r="C148" s="11">
        <f>IF($B148="","",IFERROR(INDEX('顧客一覧'!$C$5:$C$104,MATCH($B148,'顧客一覧'!$A$5:$A$104,0))&amp;"","※顧客一覧にないID"))</f>
        <v/>
      </c>
      <c r="D148" s="7" t="n"/>
      <c r="E148" s="7" t="n"/>
      <c r="F148" s="14" t="n"/>
      <c r="G148" s="14" t="n"/>
      <c r="H148" s="13" t="n"/>
      <c r="I148" s="31" t="n"/>
      <c r="J148" s="12">
        <f>IF(ISNUMBER($A148),$A148+ROW()/100000,"")</f>
        <v/>
      </c>
      <c r="K148" s="12">
        <f>IF(AND(ISNUMBER($J148),$B148&lt;&gt;"",$B148='顧客カルテ'!$C$3),$J148,"")</f>
        <v/>
      </c>
    </row>
    <row r="149" ht="30" customHeight="1">
      <c r="A149" s="13" t="n"/>
      <c r="B149" s="7" t="n"/>
      <c r="C149" s="11">
        <f>IF($B149="","",IFERROR(INDEX('顧客一覧'!$C$5:$C$104,MATCH($B149,'顧客一覧'!$A$5:$A$104,0))&amp;"","※顧客一覧にないID"))</f>
        <v/>
      </c>
      <c r="D149" s="7" t="n"/>
      <c r="E149" s="7" t="n"/>
      <c r="F149" s="14" t="n"/>
      <c r="G149" s="14" t="n"/>
      <c r="H149" s="13" t="n"/>
      <c r="I149" s="31" t="n"/>
      <c r="J149" s="12">
        <f>IF(ISNUMBER($A149),$A149+ROW()/100000,"")</f>
        <v/>
      </c>
      <c r="K149" s="12">
        <f>IF(AND(ISNUMBER($J149),$B149&lt;&gt;"",$B149='顧客カルテ'!$C$3),$J149,"")</f>
        <v/>
      </c>
    </row>
    <row r="150" ht="30" customHeight="1">
      <c r="A150" s="13" t="n"/>
      <c r="B150" s="7" t="n"/>
      <c r="C150" s="11">
        <f>IF($B150="","",IFERROR(INDEX('顧客一覧'!$C$5:$C$104,MATCH($B150,'顧客一覧'!$A$5:$A$104,0))&amp;"","※顧客一覧にないID"))</f>
        <v/>
      </c>
      <c r="D150" s="7" t="n"/>
      <c r="E150" s="7" t="n"/>
      <c r="F150" s="14" t="n"/>
      <c r="G150" s="14" t="n"/>
      <c r="H150" s="13" t="n"/>
      <c r="I150" s="31" t="n"/>
      <c r="J150" s="12">
        <f>IF(ISNUMBER($A150),$A150+ROW()/100000,"")</f>
        <v/>
      </c>
      <c r="K150" s="12">
        <f>IF(AND(ISNUMBER($J150),$B150&lt;&gt;"",$B150='顧客カルテ'!$C$3),$J150,"")</f>
        <v/>
      </c>
    </row>
    <row r="151" ht="30" customHeight="1">
      <c r="A151" s="13" t="n"/>
      <c r="B151" s="7" t="n"/>
      <c r="C151" s="11">
        <f>IF($B151="","",IFERROR(INDEX('顧客一覧'!$C$5:$C$104,MATCH($B151,'顧客一覧'!$A$5:$A$104,0))&amp;"","※顧客一覧にないID"))</f>
        <v/>
      </c>
      <c r="D151" s="7" t="n"/>
      <c r="E151" s="7" t="n"/>
      <c r="F151" s="14" t="n"/>
      <c r="G151" s="14" t="n"/>
      <c r="H151" s="13" t="n"/>
      <c r="I151" s="31" t="n"/>
      <c r="J151" s="12">
        <f>IF(ISNUMBER($A151),$A151+ROW()/100000,"")</f>
        <v/>
      </c>
      <c r="K151" s="12">
        <f>IF(AND(ISNUMBER($J151),$B151&lt;&gt;"",$B151='顧客カルテ'!$C$3),$J151,"")</f>
        <v/>
      </c>
    </row>
    <row r="152" ht="30" customHeight="1">
      <c r="A152" s="13" t="n"/>
      <c r="B152" s="7" t="n"/>
      <c r="C152" s="11">
        <f>IF($B152="","",IFERROR(INDEX('顧客一覧'!$C$5:$C$104,MATCH($B152,'顧客一覧'!$A$5:$A$104,0))&amp;"","※顧客一覧にないID"))</f>
        <v/>
      </c>
      <c r="D152" s="7" t="n"/>
      <c r="E152" s="7" t="n"/>
      <c r="F152" s="14" t="n"/>
      <c r="G152" s="14" t="n"/>
      <c r="H152" s="13" t="n"/>
      <c r="I152" s="31" t="n"/>
      <c r="J152" s="12">
        <f>IF(ISNUMBER($A152),$A152+ROW()/100000,"")</f>
        <v/>
      </c>
      <c r="K152" s="12">
        <f>IF(AND(ISNUMBER($J152),$B152&lt;&gt;"",$B152='顧客カルテ'!$C$3),$J152,"")</f>
        <v/>
      </c>
    </row>
    <row r="153" ht="30" customHeight="1">
      <c r="A153" s="13" t="n"/>
      <c r="B153" s="7" t="n"/>
      <c r="C153" s="11">
        <f>IF($B153="","",IFERROR(INDEX('顧客一覧'!$C$5:$C$104,MATCH($B153,'顧客一覧'!$A$5:$A$104,0))&amp;"","※顧客一覧にないID"))</f>
        <v/>
      </c>
      <c r="D153" s="7" t="n"/>
      <c r="E153" s="7" t="n"/>
      <c r="F153" s="14" t="n"/>
      <c r="G153" s="14" t="n"/>
      <c r="H153" s="13" t="n"/>
      <c r="I153" s="31" t="n"/>
      <c r="J153" s="12">
        <f>IF(ISNUMBER($A153),$A153+ROW()/100000,"")</f>
        <v/>
      </c>
      <c r="K153" s="12">
        <f>IF(AND(ISNUMBER($J153),$B153&lt;&gt;"",$B153='顧客カルテ'!$C$3),$J153,"")</f>
        <v/>
      </c>
    </row>
    <row r="154" ht="30" customHeight="1">
      <c r="A154" s="13" t="n"/>
      <c r="B154" s="7" t="n"/>
      <c r="C154" s="11">
        <f>IF($B154="","",IFERROR(INDEX('顧客一覧'!$C$5:$C$104,MATCH($B154,'顧客一覧'!$A$5:$A$104,0))&amp;"","※顧客一覧にないID"))</f>
        <v/>
      </c>
      <c r="D154" s="7" t="n"/>
      <c r="E154" s="7" t="n"/>
      <c r="F154" s="14" t="n"/>
      <c r="G154" s="14" t="n"/>
      <c r="H154" s="13" t="n"/>
      <c r="I154" s="31" t="n"/>
      <c r="J154" s="12">
        <f>IF(ISNUMBER($A154),$A154+ROW()/100000,"")</f>
        <v/>
      </c>
      <c r="K154" s="12">
        <f>IF(AND(ISNUMBER($J154),$B154&lt;&gt;"",$B154='顧客カルテ'!$C$3),$J154,"")</f>
        <v/>
      </c>
    </row>
    <row r="155" ht="30" customHeight="1">
      <c r="A155" s="13" t="n"/>
      <c r="B155" s="7" t="n"/>
      <c r="C155" s="11">
        <f>IF($B155="","",IFERROR(INDEX('顧客一覧'!$C$5:$C$104,MATCH($B155,'顧客一覧'!$A$5:$A$104,0))&amp;"","※顧客一覧にないID"))</f>
        <v/>
      </c>
      <c r="D155" s="7" t="n"/>
      <c r="E155" s="7" t="n"/>
      <c r="F155" s="14" t="n"/>
      <c r="G155" s="14" t="n"/>
      <c r="H155" s="13" t="n"/>
      <c r="I155" s="31" t="n"/>
      <c r="J155" s="12">
        <f>IF(ISNUMBER($A155),$A155+ROW()/100000,"")</f>
        <v/>
      </c>
      <c r="K155" s="12">
        <f>IF(AND(ISNUMBER($J155),$B155&lt;&gt;"",$B155='顧客カルテ'!$C$3),$J155,"")</f>
        <v/>
      </c>
    </row>
    <row r="156" ht="30" customHeight="1">
      <c r="A156" s="13" t="n"/>
      <c r="B156" s="7" t="n"/>
      <c r="C156" s="11">
        <f>IF($B156="","",IFERROR(INDEX('顧客一覧'!$C$5:$C$104,MATCH($B156,'顧客一覧'!$A$5:$A$104,0))&amp;"","※顧客一覧にないID"))</f>
        <v/>
      </c>
      <c r="D156" s="7" t="n"/>
      <c r="E156" s="7" t="n"/>
      <c r="F156" s="14" t="n"/>
      <c r="G156" s="14" t="n"/>
      <c r="H156" s="13" t="n"/>
      <c r="I156" s="31" t="n"/>
      <c r="J156" s="12">
        <f>IF(ISNUMBER($A156),$A156+ROW()/100000,"")</f>
        <v/>
      </c>
      <c r="K156" s="12">
        <f>IF(AND(ISNUMBER($J156),$B156&lt;&gt;"",$B156='顧客カルテ'!$C$3),$J156,"")</f>
        <v/>
      </c>
    </row>
    <row r="157" ht="30" customHeight="1">
      <c r="A157" s="13" t="n"/>
      <c r="B157" s="7" t="n"/>
      <c r="C157" s="11">
        <f>IF($B157="","",IFERROR(INDEX('顧客一覧'!$C$5:$C$104,MATCH($B157,'顧客一覧'!$A$5:$A$104,0))&amp;"","※顧客一覧にないID"))</f>
        <v/>
      </c>
      <c r="D157" s="7" t="n"/>
      <c r="E157" s="7" t="n"/>
      <c r="F157" s="14" t="n"/>
      <c r="G157" s="14" t="n"/>
      <c r="H157" s="13" t="n"/>
      <c r="I157" s="31" t="n"/>
      <c r="J157" s="12">
        <f>IF(ISNUMBER($A157),$A157+ROW()/100000,"")</f>
        <v/>
      </c>
      <c r="K157" s="12">
        <f>IF(AND(ISNUMBER($J157),$B157&lt;&gt;"",$B157='顧客カルテ'!$C$3),$J157,"")</f>
        <v/>
      </c>
    </row>
    <row r="158" ht="30" customHeight="1">
      <c r="A158" s="13" t="n"/>
      <c r="B158" s="7" t="n"/>
      <c r="C158" s="11">
        <f>IF($B158="","",IFERROR(INDEX('顧客一覧'!$C$5:$C$104,MATCH($B158,'顧客一覧'!$A$5:$A$104,0))&amp;"","※顧客一覧にないID"))</f>
        <v/>
      </c>
      <c r="D158" s="7" t="n"/>
      <c r="E158" s="7" t="n"/>
      <c r="F158" s="14" t="n"/>
      <c r="G158" s="14" t="n"/>
      <c r="H158" s="13" t="n"/>
      <c r="I158" s="31" t="n"/>
      <c r="J158" s="12">
        <f>IF(ISNUMBER($A158),$A158+ROW()/100000,"")</f>
        <v/>
      </c>
      <c r="K158" s="12">
        <f>IF(AND(ISNUMBER($J158),$B158&lt;&gt;"",$B158='顧客カルテ'!$C$3),$J158,"")</f>
        <v/>
      </c>
    </row>
    <row r="159" ht="30" customHeight="1">
      <c r="A159" s="13" t="n"/>
      <c r="B159" s="7" t="n"/>
      <c r="C159" s="11">
        <f>IF($B159="","",IFERROR(INDEX('顧客一覧'!$C$5:$C$104,MATCH($B159,'顧客一覧'!$A$5:$A$104,0))&amp;"","※顧客一覧にないID"))</f>
        <v/>
      </c>
      <c r="D159" s="7" t="n"/>
      <c r="E159" s="7" t="n"/>
      <c r="F159" s="14" t="n"/>
      <c r="G159" s="14" t="n"/>
      <c r="H159" s="13" t="n"/>
      <c r="I159" s="31" t="n"/>
      <c r="J159" s="12">
        <f>IF(ISNUMBER($A159),$A159+ROW()/100000,"")</f>
        <v/>
      </c>
      <c r="K159" s="12">
        <f>IF(AND(ISNUMBER($J159),$B159&lt;&gt;"",$B159='顧客カルテ'!$C$3),$J159,"")</f>
        <v/>
      </c>
    </row>
    <row r="160" ht="30" customHeight="1">
      <c r="A160" s="13" t="n"/>
      <c r="B160" s="7" t="n"/>
      <c r="C160" s="11">
        <f>IF($B160="","",IFERROR(INDEX('顧客一覧'!$C$5:$C$104,MATCH($B160,'顧客一覧'!$A$5:$A$104,0))&amp;"","※顧客一覧にないID"))</f>
        <v/>
      </c>
      <c r="D160" s="7" t="n"/>
      <c r="E160" s="7" t="n"/>
      <c r="F160" s="14" t="n"/>
      <c r="G160" s="14" t="n"/>
      <c r="H160" s="13" t="n"/>
      <c r="I160" s="31" t="n"/>
      <c r="J160" s="12">
        <f>IF(ISNUMBER($A160),$A160+ROW()/100000,"")</f>
        <v/>
      </c>
      <c r="K160" s="12">
        <f>IF(AND(ISNUMBER($J160),$B160&lt;&gt;"",$B160='顧客カルテ'!$C$3),$J160,"")</f>
        <v/>
      </c>
    </row>
    <row r="161" ht="30" customHeight="1">
      <c r="A161" s="13" t="n"/>
      <c r="B161" s="7" t="n"/>
      <c r="C161" s="11">
        <f>IF($B161="","",IFERROR(INDEX('顧客一覧'!$C$5:$C$104,MATCH($B161,'顧客一覧'!$A$5:$A$104,0))&amp;"","※顧客一覧にないID"))</f>
        <v/>
      </c>
      <c r="D161" s="7" t="n"/>
      <c r="E161" s="7" t="n"/>
      <c r="F161" s="14" t="n"/>
      <c r="G161" s="14" t="n"/>
      <c r="H161" s="13" t="n"/>
      <c r="I161" s="31" t="n"/>
      <c r="J161" s="12">
        <f>IF(ISNUMBER($A161),$A161+ROW()/100000,"")</f>
        <v/>
      </c>
      <c r="K161" s="12">
        <f>IF(AND(ISNUMBER($J161),$B161&lt;&gt;"",$B161='顧客カルテ'!$C$3),$J161,"")</f>
        <v/>
      </c>
    </row>
    <row r="162" ht="30" customHeight="1">
      <c r="A162" s="13" t="n"/>
      <c r="B162" s="7" t="n"/>
      <c r="C162" s="11">
        <f>IF($B162="","",IFERROR(INDEX('顧客一覧'!$C$5:$C$104,MATCH($B162,'顧客一覧'!$A$5:$A$104,0))&amp;"","※顧客一覧にないID"))</f>
        <v/>
      </c>
      <c r="D162" s="7" t="n"/>
      <c r="E162" s="7" t="n"/>
      <c r="F162" s="14" t="n"/>
      <c r="G162" s="14" t="n"/>
      <c r="H162" s="13" t="n"/>
      <c r="I162" s="31" t="n"/>
      <c r="J162" s="12">
        <f>IF(ISNUMBER($A162),$A162+ROW()/100000,"")</f>
        <v/>
      </c>
      <c r="K162" s="12">
        <f>IF(AND(ISNUMBER($J162),$B162&lt;&gt;"",$B162='顧客カルテ'!$C$3),$J162,"")</f>
        <v/>
      </c>
    </row>
    <row r="163" ht="30" customHeight="1">
      <c r="A163" s="13" t="n"/>
      <c r="B163" s="7" t="n"/>
      <c r="C163" s="11">
        <f>IF($B163="","",IFERROR(INDEX('顧客一覧'!$C$5:$C$104,MATCH($B163,'顧客一覧'!$A$5:$A$104,0))&amp;"","※顧客一覧にないID"))</f>
        <v/>
      </c>
      <c r="D163" s="7" t="n"/>
      <c r="E163" s="7" t="n"/>
      <c r="F163" s="14" t="n"/>
      <c r="G163" s="14" t="n"/>
      <c r="H163" s="13" t="n"/>
      <c r="I163" s="31" t="n"/>
      <c r="J163" s="12">
        <f>IF(ISNUMBER($A163),$A163+ROW()/100000,"")</f>
        <v/>
      </c>
      <c r="K163" s="12">
        <f>IF(AND(ISNUMBER($J163),$B163&lt;&gt;"",$B163='顧客カルテ'!$C$3),$J163,"")</f>
        <v/>
      </c>
    </row>
    <row r="164" ht="30" customHeight="1">
      <c r="A164" s="13" t="n"/>
      <c r="B164" s="7" t="n"/>
      <c r="C164" s="11">
        <f>IF($B164="","",IFERROR(INDEX('顧客一覧'!$C$5:$C$104,MATCH($B164,'顧客一覧'!$A$5:$A$104,0))&amp;"","※顧客一覧にないID"))</f>
        <v/>
      </c>
      <c r="D164" s="7" t="n"/>
      <c r="E164" s="7" t="n"/>
      <c r="F164" s="14" t="n"/>
      <c r="G164" s="14" t="n"/>
      <c r="H164" s="13" t="n"/>
      <c r="I164" s="31" t="n"/>
      <c r="J164" s="12">
        <f>IF(ISNUMBER($A164),$A164+ROW()/100000,"")</f>
        <v/>
      </c>
      <c r="K164" s="12">
        <f>IF(AND(ISNUMBER($J164),$B164&lt;&gt;"",$B164='顧客カルテ'!$C$3),$J164,"")</f>
        <v/>
      </c>
    </row>
    <row r="165" ht="30" customHeight="1">
      <c r="A165" s="13" t="n"/>
      <c r="B165" s="7" t="n"/>
      <c r="C165" s="11">
        <f>IF($B165="","",IFERROR(INDEX('顧客一覧'!$C$5:$C$104,MATCH($B165,'顧客一覧'!$A$5:$A$104,0))&amp;"","※顧客一覧にないID"))</f>
        <v/>
      </c>
      <c r="D165" s="7" t="n"/>
      <c r="E165" s="7" t="n"/>
      <c r="F165" s="14" t="n"/>
      <c r="G165" s="14" t="n"/>
      <c r="H165" s="13" t="n"/>
      <c r="I165" s="31" t="n"/>
      <c r="J165" s="12">
        <f>IF(ISNUMBER($A165),$A165+ROW()/100000,"")</f>
        <v/>
      </c>
      <c r="K165" s="12">
        <f>IF(AND(ISNUMBER($J165),$B165&lt;&gt;"",$B165='顧客カルテ'!$C$3),$J165,"")</f>
        <v/>
      </c>
    </row>
    <row r="166" ht="30" customHeight="1">
      <c r="A166" s="13" t="n"/>
      <c r="B166" s="7" t="n"/>
      <c r="C166" s="11">
        <f>IF($B166="","",IFERROR(INDEX('顧客一覧'!$C$5:$C$104,MATCH($B166,'顧客一覧'!$A$5:$A$104,0))&amp;"","※顧客一覧にないID"))</f>
        <v/>
      </c>
      <c r="D166" s="7" t="n"/>
      <c r="E166" s="7" t="n"/>
      <c r="F166" s="14" t="n"/>
      <c r="G166" s="14" t="n"/>
      <c r="H166" s="13" t="n"/>
      <c r="I166" s="31" t="n"/>
      <c r="J166" s="12">
        <f>IF(ISNUMBER($A166),$A166+ROW()/100000,"")</f>
        <v/>
      </c>
      <c r="K166" s="12">
        <f>IF(AND(ISNUMBER($J166),$B166&lt;&gt;"",$B166='顧客カルテ'!$C$3),$J166,"")</f>
        <v/>
      </c>
    </row>
    <row r="167" ht="30" customHeight="1">
      <c r="A167" s="13" t="n"/>
      <c r="B167" s="7" t="n"/>
      <c r="C167" s="11">
        <f>IF($B167="","",IFERROR(INDEX('顧客一覧'!$C$5:$C$104,MATCH($B167,'顧客一覧'!$A$5:$A$104,0))&amp;"","※顧客一覧にないID"))</f>
        <v/>
      </c>
      <c r="D167" s="7" t="n"/>
      <c r="E167" s="7" t="n"/>
      <c r="F167" s="14" t="n"/>
      <c r="G167" s="14" t="n"/>
      <c r="H167" s="13" t="n"/>
      <c r="I167" s="31" t="n"/>
      <c r="J167" s="12">
        <f>IF(ISNUMBER($A167),$A167+ROW()/100000,"")</f>
        <v/>
      </c>
      <c r="K167" s="12">
        <f>IF(AND(ISNUMBER($J167),$B167&lt;&gt;"",$B167='顧客カルテ'!$C$3),$J167,"")</f>
        <v/>
      </c>
    </row>
    <row r="168" ht="30" customHeight="1">
      <c r="A168" s="13" t="n"/>
      <c r="B168" s="7" t="n"/>
      <c r="C168" s="11">
        <f>IF($B168="","",IFERROR(INDEX('顧客一覧'!$C$5:$C$104,MATCH($B168,'顧客一覧'!$A$5:$A$104,0))&amp;"","※顧客一覧にないID"))</f>
        <v/>
      </c>
      <c r="D168" s="7" t="n"/>
      <c r="E168" s="7" t="n"/>
      <c r="F168" s="14" t="n"/>
      <c r="G168" s="14" t="n"/>
      <c r="H168" s="13" t="n"/>
      <c r="I168" s="31" t="n"/>
      <c r="J168" s="12">
        <f>IF(ISNUMBER($A168),$A168+ROW()/100000,"")</f>
        <v/>
      </c>
      <c r="K168" s="12">
        <f>IF(AND(ISNUMBER($J168),$B168&lt;&gt;"",$B168='顧客カルテ'!$C$3),$J168,"")</f>
        <v/>
      </c>
    </row>
    <row r="169" ht="30" customHeight="1">
      <c r="A169" s="13" t="n"/>
      <c r="B169" s="7" t="n"/>
      <c r="C169" s="11">
        <f>IF($B169="","",IFERROR(INDEX('顧客一覧'!$C$5:$C$104,MATCH($B169,'顧客一覧'!$A$5:$A$104,0))&amp;"","※顧客一覧にないID"))</f>
        <v/>
      </c>
      <c r="D169" s="7" t="n"/>
      <c r="E169" s="7" t="n"/>
      <c r="F169" s="14" t="n"/>
      <c r="G169" s="14" t="n"/>
      <c r="H169" s="13" t="n"/>
      <c r="I169" s="31" t="n"/>
      <c r="J169" s="12">
        <f>IF(ISNUMBER($A169),$A169+ROW()/100000,"")</f>
        <v/>
      </c>
      <c r="K169" s="12">
        <f>IF(AND(ISNUMBER($J169),$B169&lt;&gt;"",$B169='顧客カルテ'!$C$3),$J169,"")</f>
        <v/>
      </c>
    </row>
    <row r="170" ht="30" customHeight="1">
      <c r="A170" s="13" t="n"/>
      <c r="B170" s="7" t="n"/>
      <c r="C170" s="11">
        <f>IF($B170="","",IFERROR(INDEX('顧客一覧'!$C$5:$C$104,MATCH($B170,'顧客一覧'!$A$5:$A$104,0))&amp;"","※顧客一覧にないID"))</f>
        <v/>
      </c>
      <c r="D170" s="7" t="n"/>
      <c r="E170" s="7" t="n"/>
      <c r="F170" s="14" t="n"/>
      <c r="G170" s="14" t="n"/>
      <c r="H170" s="13" t="n"/>
      <c r="I170" s="31" t="n"/>
      <c r="J170" s="12">
        <f>IF(ISNUMBER($A170),$A170+ROW()/100000,"")</f>
        <v/>
      </c>
      <c r="K170" s="12">
        <f>IF(AND(ISNUMBER($J170),$B170&lt;&gt;"",$B170='顧客カルテ'!$C$3),$J170,"")</f>
        <v/>
      </c>
    </row>
    <row r="171" ht="30" customHeight="1">
      <c r="A171" s="13" t="n"/>
      <c r="B171" s="7" t="n"/>
      <c r="C171" s="11">
        <f>IF($B171="","",IFERROR(INDEX('顧客一覧'!$C$5:$C$104,MATCH($B171,'顧客一覧'!$A$5:$A$104,0))&amp;"","※顧客一覧にないID"))</f>
        <v/>
      </c>
      <c r="D171" s="7" t="n"/>
      <c r="E171" s="7" t="n"/>
      <c r="F171" s="14" t="n"/>
      <c r="G171" s="14" t="n"/>
      <c r="H171" s="13" t="n"/>
      <c r="I171" s="31" t="n"/>
      <c r="J171" s="12">
        <f>IF(ISNUMBER($A171),$A171+ROW()/100000,"")</f>
        <v/>
      </c>
      <c r="K171" s="12">
        <f>IF(AND(ISNUMBER($J171),$B171&lt;&gt;"",$B171='顧客カルテ'!$C$3),$J171,"")</f>
        <v/>
      </c>
    </row>
    <row r="172" ht="30" customHeight="1">
      <c r="A172" s="13" t="n"/>
      <c r="B172" s="7" t="n"/>
      <c r="C172" s="11">
        <f>IF($B172="","",IFERROR(INDEX('顧客一覧'!$C$5:$C$104,MATCH($B172,'顧客一覧'!$A$5:$A$104,0))&amp;"","※顧客一覧にないID"))</f>
        <v/>
      </c>
      <c r="D172" s="7" t="n"/>
      <c r="E172" s="7" t="n"/>
      <c r="F172" s="14" t="n"/>
      <c r="G172" s="14" t="n"/>
      <c r="H172" s="13" t="n"/>
      <c r="I172" s="31" t="n"/>
      <c r="J172" s="12">
        <f>IF(ISNUMBER($A172),$A172+ROW()/100000,"")</f>
        <v/>
      </c>
      <c r="K172" s="12">
        <f>IF(AND(ISNUMBER($J172),$B172&lt;&gt;"",$B172='顧客カルテ'!$C$3),$J172,"")</f>
        <v/>
      </c>
    </row>
    <row r="173" ht="30" customHeight="1">
      <c r="A173" s="13" t="n"/>
      <c r="B173" s="7" t="n"/>
      <c r="C173" s="11">
        <f>IF($B173="","",IFERROR(INDEX('顧客一覧'!$C$5:$C$104,MATCH($B173,'顧客一覧'!$A$5:$A$104,0))&amp;"","※顧客一覧にないID"))</f>
        <v/>
      </c>
      <c r="D173" s="7" t="n"/>
      <c r="E173" s="7" t="n"/>
      <c r="F173" s="14" t="n"/>
      <c r="G173" s="14" t="n"/>
      <c r="H173" s="13" t="n"/>
      <c r="I173" s="31" t="n"/>
      <c r="J173" s="12">
        <f>IF(ISNUMBER($A173),$A173+ROW()/100000,"")</f>
        <v/>
      </c>
      <c r="K173" s="12">
        <f>IF(AND(ISNUMBER($J173),$B173&lt;&gt;"",$B173='顧客カルテ'!$C$3),$J173,"")</f>
        <v/>
      </c>
    </row>
    <row r="174" ht="30" customHeight="1">
      <c r="A174" s="13" t="n"/>
      <c r="B174" s="7" t="n"/>
      <c r="C174" s="11">
        <f>IF($B174="","",IFERROR(INDEX('顧客一覧'!$C$5:$C$104,MATCH($B174,'顧客一覧'!$A$5:$A$104,0))&amp;"","※顧客一覧にないID"))</f>
        <v/>
      </c>
      <c r="D174" s="7" t="n"/>
      <c r="E174" s="7" t="n"/>
      <c r="F174" s="14" t="n"/>
      <c r="G174" s="14" t="n"/>
      <c r="H174" s="13" t="n"/>
      <c r="I174" s="31" t="n"/>
      <c r="J174" s="12">
        <f>IF(ISNUMBER($A174),$A174+ROW()/100000,"")</f>
        <v/>
      </c>
      <c r="K174" s="12">
        <f>IF(AND(ISNUMBER($J174),$B174&lt;&gt;"",$B174='顧客カルテ'!$C$3),$J174,"")</f>
        <v/>
      </c>
    </row>
    <row r="175" ht="30" customHeight="1">
      <c r="A175" s="13" t="n"/>
      <c r="B175" s="7" t="n"/>
      <c r="C175" s="11">
        <f>IF($B175="","",IFERROR(INDEX('顧客一覧'!$C$5:$C$104,MATCH($B175,'顧客一覧'!$A$5:$A$104,0))&amp;"","※顧客一覧にないID"))</f>
        <v/>
      </c>
      <c r="D175" s="7" t="n"/>
      <c r="E175" s="7" t="n"/>
      <c r="F175" s="14" t="n"/>
      <c r="G175" s="14" t="n"/>
      <c r="H175" s="13" t="n"/>
      <c r="I175" s="31" t="n"/>
      <c r="J175" s="12">
        <f>IF(ISNUMBER($A175),$A175+ROW()/100000,"")</f>
        <v/>
      </c>
      <c r="K175" s="12">
        <f>IF(AND(ISNUMBER($J175),$B175&lt;&gt;"",$B175='顧客カルテ'!$C$3),$J175,"")</f>
        <v/>
      </c>
    </row>
    <row r="176" ht="30" customHeight="1">
      <c r="A176" s="13" t="n"/>
      <c r="B176" s="7" t="n"/>
      <c r="C176" s="11">
        <f>IF($B176="","",IFERROR(INDEX('顧客一覧'!$C$5:$C$104,MATCH($B176,'顧客一覧'!$A$5:$A$104,0))&amp;"","※顧客一覧にないID"))</f>
        <v/>
      </c>
      <c r="D176" s="7" t="n"/>
      <c r="E176" s="7" t="n"/>
      <c r="F176" s="14" t="n"/>
      <c r="G176" s="14" t="n"/>
      <c r="H176" s="13" t="n"/>
      <c r="I176" s="31" t="n"/>
      <c r="J176" s="12">
        <f>IF(ISNUMBER($A176),$A176+ROW()/100000,"")</f>
        <v/>
      </c>
      <c r="K176" s="12">
        <f>IF(AND(ISNUMBER($J176),$B176&lt;&gt;"",$B176='顧客カルテ'!$C$3),$J176,"")</f>
        <v/>
      </c>
    </row>
    <row r="177" ht="30" customHeight="1">
      <c r="A177" s="13" t="n"/>
      <c r="B177" s="7" t="n"/>
      <c r="C177" s="11">
        <f>IF($B177="","",IFERROR(INDEX('顧客一覧'!$C$5:$C$104,MATCH($B177,'顧客一覧'!$A$5:$A$104,0))&amp;"","※顧客一覧にないID"))</f>
        <v/>
      </c>
      <c r="D177" s="7" t="n"/>
      <c r="E177" s="7" t="n"/>
      <c r="F177" s="14" t="n"/>
      <c r="G177" s="14" t="n"/>
      <c r="H177" s="13" t="n"/>
      <c r="I177" s="31" t="n"/>
      <c r="J177" s="12">
        <f>IF(ISNUMBER($A177),$A177+ROW()/100000,"")</f>
        <v/>
      </c>
      <c r="K177" s="12">
        <f>IF(AND(ISNUMBER($J177),$B177&lt;&gt;"",$B177='顧客カルテ'!$C$3),$J177,"")</f>
        <v/>
      </c>
    </row>
    <row r="178" ht="30" customHeight="1">
      <c r="A178" s="13" t="n"/>
      <c r="B178" s="7" t="n"/>
      <c r="C178" s="11">
        <f>IF($B178="","",IFERROR(INDEX('顧客一覧'!$C$5:$C$104,MATCH($B178,'顧客一覧'!$A$5:$A$104,0))&amp;"","※顧客一覧にないID"))</f>
        <v/>
      </c>
      <c r="D178" s="7" t="n"/>
      <c r="E178" s="7" t="n"/>
      <c r="F178" s="14" t="n"/>
      <c r="G178" s="14" t="n"/>
      <c r="H178" s="13" t="n"/>
      <c r="I178" s="31" t="n"/>
      <c r="J178" s="12">
        <f>IF(ISNUMBER($A178),$A178+ROW()/100000,"")</f>
        <v/>
      </c>
      <c r="K178" s="12">
        <f>IF(AND(ISNUMBER($J178),$B178&lt;&gt;"",$B178='顧客カルテ'!$C$3),$J178,"")</f>
        <v/>
      </c>
    </row>
    <row r="179" ht="30" customHeight="1">
      <c r="A179" s="13" t="n"/>
      <c r="B179" s="7" t="n"/>
      <c r="C179" s="11">
        <f>IF($B179="","",IFERROR(INDEX('顧客一覧'!$C$5:$C$104,MATCH($B179,'顧客一覧'!$A$5:$A$104,0))&amp;"","※顧客一覧にないID"))</f>
        <v/>
      </c>
      <c r="D179" s="7" t="n"/>
      <c r="E179" s="7" t="n"/>
      <c r="F179" s="14" t="n"/>
      <c r="G179" s="14" t="n"/>
      <c r="H179" s="13" t="n"/>
      <c r="I179" s="31" t="n"/>
      <c r="J179" s="12">
        <f>IF(ISNUMBER($A179),$A179+ROW()/100000,"")</f>
        <v/>
      </c>
      <c r="K179" s="12">
        <f>IF(AND(ISNUMBER($J179),$B179&lt;&gt;"",$B179='顧客カルテ'!$C$3),$J179,"")</f>
        <v/>
      </c>
    </row>
    <row r="180" ht="30" customHeight="1">
      <c r="A180" s="13" t="n"/>
      <c r="B180" s="7" t="n"/>
      <c r="C180" s="11">
        <f>IF($B180="","",IFERROR(INDEX('顧客一覧'!$C$5:$C$104,MATCH($B180,'顧客一覧'!$A$5:$A$104,0))&amp;"","※顧客一覧にないID"))</f>
        <v/>
      </c>
      <c r="D180" s="7" t="n"/>
      <c r="E180" s="7" t="n"/>
      <c r="F180" s="14" t="n"/>
      <c r="G180" s="14" t="n"/>
      <c r="H180" s="13" t="n"/>
      <c r="I180" s="31" t="n"/>
      <c r="J180" s="12">
        <f>IF(ISNUMBER($A180),$A180+ROW()/100000,"")</f>
        <v/>
      </c>
      <c r="K180" s="12">
        <f>IF(AND(ISNUMBER($J180),$B180&lt;&gt;"",$B180='顧客カルテ'!$C$3),$J180,"")</f>
        <v/>
      </c>
    </row>
    <row r="181" ht="30" customHeight="1">
      <c r="A181" s="13" t="n"/>
      <c r="B181" s="7" t="n"/>
      <c r="C181" s="11">
        <f>IF($B181="","",IFERROR(INDEX('顧客一覧'!$C$5:$C$104,MATCH($B181,'顧客一覧'!$A$5:$A$104,0))&amp;"","※顧客一覧にないID"))</f>
        <v/>
      </c>
      <c r="D181" s="7" t="n"/>
      <c r="E181" s="7" t="n"/>
      <c r="F181" s="14" t="n"/>
      <c r="G181" s="14" t="n"/>
      <c r="H181" s="13" t="n"/>
      <c r="I181" s="31" t="n"/>
      <c r="J181" s="12">
        <f>IF(ISNUMBER($A181),$A181+ROW()/100000,"")</f>
        <v/>
      </c>
      <c r="K181" s="12">
        <f>IF(AND(ISNUMBER($J181),$B181&lt;&gt;"",$B181='顧客カルテ'!$C$3),$J181,"")</f>
        <v/>
      </c>
    </row>
    <row r="182" ht="30" customHeight="1">
      <c r="A182" s="13" t="n"/>
      <c r="B182" s="7" t="n"/>
      <c r="C182" s="11">
        <f>IF($B182="","",IFERROR(INDEX('顧客一覧'!$C$5:$C$104,MATCH($B182,'顧客一覧'!$A$5:$A$104,0))&amp;"","※顧客一覧にないID"))</f>
        <v/>
      </c>
      <c r="D182" s="7" t="n"/>
      <c r="E182" s="7" t="n"/>
      <c r="F182" s="14" t="n"/>
      <c r="G182" s="14" t="n"/>
      <c r="H182" s="13" t="n"/>
      <c r="I182" s="31" t="n"/>
      <c r="J182" s="12">
        <f>IF(ISNUMBER($A182),$A182+ROW()/100000,"")</f>
        <v/>
      </c>
      <c r="K182" s="12">
        <f>IF(AND(ISNUMBER($J182),$B182&lt;&gt;"",$B182='顧客カルテ'!$C$3),$J182,"")</f>
        <v/>
      </c>
    </row>
    <row r="183" ht="30" customHeight="1">
      <c r="A183" s="13" t="n"/>
      <c r="B183" s="7" t="n"/>
      <c r="C183" s="11">
        <f>IF($B183="","",IFERROR(INDEX('顧客一覧'!$C$5:$C$104,MATCH($B183,'顧客一覧'!$A$5:$A$104,0))&amp;"","※顧客一覧にないID"))</f>
        <v/>
      </c>
      <c r="D183" s="7" t="n"/>
      <c r="E183" s="7" t="n"/>
      <c r="F183" s="14" t="n"/>
      <c r="G183" s="14" t="n"/>
      <c r="H183" s="13" t="n"/>
      <c r="I183" s="31" t="n"/>
      <c r="J183" s="12">
        <f>IF(ISNUMBER($A183),$A183+ROW()/100000,"")</f>
        <v/>
      </c>
      <c r="K183" s="12">
        <f>IF(AND(ISNUMBER($J183),$B183&lt;&gt;"",$B183='顧客カルテ'!$C$3),$J183,"")</f>
        <v/>
      </c>
    </row>
    <row r="184" ht="30" customHeight="1">
      <c r="A184" s="13" t="n"/>
      <c r="B184" s="7" t="n"/>
      <c r="C184" s="11">
        <f>IF($B184="","",IFERROR(INDEX('顧客一覧'!$C$5:$C$104,MATCH($B184,'顧客一覧'!$A$5:$A$104,0))&amp;"","※顧客一覧にないID"))</f>
        <v/>
      </c>
      <c r="D184" s="7" t="n"/>
      <c r="E184" s="7" t="n"/>
      <c r="F184" s="14" t="n"/>
      <c r="G184" s="14" t="n"/>
      <c r="H184" s="13" t="n"/>
      <c r="I184" s="31" t="n"/>
      <c r="J184" s="12">
        <f>IF(ISNUMBER($A184),$A184+ROW()/100000,"")</f>
        <v/>
      </c>
      <c r="K184" s="12">
        <f>IF(AND(ISNUMBER($J184),$B184&lt;&gt;"",$B184='顧客カルテ'!$C$3),$J184,"")</f>
        <v/>
      </c>
    </row>
    <row r="185" ht="30" customHeight="1">
      <c r="A185" s="13" t="n"/>
      <c r="B185" s="7" t="n"/>
      <c r="C185" s="11">
        <f>IF($B185="","",IFERROR(INDEX('顧客一覧'!$C$5:$C$104,MATCH($B185,'顧客一覧'!$A$5:$A$104,0))&amp;"","※顧客一覧にないID"))</f>
        <v/>
      </c>
      <c r="D185" s="7" t="n"/>
      <c r="E185" s="7" t="n"/>
      <c r="F185" s="14" t="n"/>
      <c r="G185" s="14" t="n"/>
      <c r="H185" s="13" t="n"/>
      <c r="I185" s="31" t="n"/>
      <c r="J185" s="12">
        <f>IF(ISNUMBER($A185),$A185+ROW()/100000,"")</f>
        <v/>
      </c>
      <c r="K185" s="12">
        <f>IF(AND(ISNUMBER($J185),$B185&lt;&gt;"",$B185='顧客カルテ'!$C$3),$J185,"")</f>
        <v/>
      </c>
    </row>
    <row r="186" ht="30" customHeight="1">
      <c r="A186" s="13" t="n"/>
      <c r="B186" s="7" t="n"/>
      <c r="C186" s="11">
        <f>IF($B186="","",IFERROR(INDEX('顧客一覧'!$C$5:$C$104,MATCH($B186,'顧客一覧'!$A$5:$A$104,0))&amp;"","※顧客一覧にないID"))</f>
        <v/>
      </c>
      <c r="D186" s="7" t="n"/>
      <c r="E186" s="7" t="n"/>
      <c r="F186" s="14" t="n"/>
      <c r="G186" s="14" t="n"/>
      <c r="H186" s="13" t="n"/>
      <c r="I186" s="31" t="n"/>
      <c r="J186" s="12">
        <f>IF(ISNUMBER($A186),$A186+ROW()/100000,"")</f>
        <v/>
      </c>
      <c r="K186" s="12">
        <f>IF(AND(ISNUMBER($J186),$B186&lt;&gt;"",$B186='顧客カルテ'!$C$3),$J186,"")</f>
        <v/>
      </c>
    </row>
    <row r="187" ht="30" customHeight="1">
      <c r="A187" s="13" t="n"/>
      <c r="B187" s="7" t="n"/>
      <c r="C187" s="11">
        <f>IF($B187="","",IFERROR(INDEX('顧客一覧'!$C$5:$C$104,MATCH($B187,'顧客一覧'!$A$5:$A$104,0))&amp;"","※顧客一覧にないID"))</f>
        <v/>
      </c>
      <c r="D187" s="7" t="n"/>
      <c r="E187" s="7" t="n"/>
      <c r="F187" s="14" t="n"/>
      <c r="G187" s="14" t="n"/>
      <c r="H187" s="13" t="n"/>
      <c r="I187" s="31" t="n"/>
      <c r="J187" s="12">
        <f>IF(ISNUMBER($A187),$A187+ROW()/100000,"")</f>
        <v/>
      </c>
      <c r="K187" s="12">
        <f>IF(AND(ISNUMBER($J187),$B187&lt;&gt;"",$B187='顧客カルテ'!$C$3),$J187,"")</f>
        <v/>
      </c>
    </row>
    <row r="188" ht="30" customHeight="1">
      <c r="A188" s="13" t="n"/>
      <c r="B188" s="7" t="n"/>
      <c r="C188" s="11">
        <f>IF($B188="","",IFERROR(INDEX('顧客一覧'!$C$5:$C$104,MATCH($B188,'顧客一覧'!$A$5:$A$104,0))&amp;"","※顧客一覧にないID"))</f>
        <v/>
      </c>
      <c r="D188" s="7" t="n"/>
      <c r="E188" s="7" t="n"/>
      <c r="F188" s="14" t="n"/>
      <c r="G188" s="14" t="n"/>
      <c r="H188" s="13" t="n"/>
      <c r="I188" s="31" t="n"/>
      <c r="J188" s="12">
        <f>IF(ISNUMBER($A188),$A188+ROW()/100000,"")</f>
        <v/>
      </c>
      <c r="K188" s="12">
        <f>IF(AND(ISNUMBER($J188),$B188&lt;&gt;"",$B188='顧客カルテ'!$C$3),$J188,"")</f>
        <v/>
      </c>
    </row>
    <row r="189" ht="30" customHeight="1">
      <c r="A189" s="13" t="n"/>
      <c r="B189" s="7" t="n"/>
      <c r="C189" s="11">
        <f>IF($B189="","",IFERROR(INDEX('顧客一覧'!$C$5:$C$104,MATCH($B189,'顧客一覧'!$A$5:$A$104,0))&amp;"","※顧客一覧にないID"))</f>
        <v/>
      </c>
      <c r="D189" s="7" t="n"/>
      <c r="E189" s="7" t="n"/>
      <c r="F189" s="14" t="n"/>
      <c r="G189" s="14" t="n"/>
      <c r="H189" s="13" t="n"/>
      <c r="I189" s="31" t="n"/>
      <c r="J189" s="12">
        <f>IF(ISNUMBER($A189),$A189+ROW()/100000,"")</f>
        <v/>
      </c>
      <c r="K189" s="12">
        <f>IF(AND(ISNUMBER($J189),$B189&lt;&gt;"",$B189='顧客カルテ'!$C$3),$J189,"")</f>
        <v/>
      </c>
    </row>
    <row r="190" ht="30" customHeight="1">
      <c r="A190" s="13" t="n"/>
      <c r="B190" s="7" t="n"/>
      <c r="C190" s="11">
        <f>IF($B190="","",IFERROR(INDEX('顧客一覧'!$C$5:$C$104,MATCH($B190,'顧客一覧'!$A$5:$A$104,0))&amp;"","※顧客一覧にないID"))</f>
        <v/>
      </c>
      <c r="D190" s="7" t="n"/>
      <c r="E190" s="7" t="n"/>
      <c r="F190" s="14" t="n"/>
      <c r="G190" s="14" t="n"/>
      <c r="H190" s="13" t="n"/>
      <c r="I190" s="31" t="n"/>
      <c r="J190" s="12">
        <f>IF(ISNUMBER($A190),$A190+ROW()/100000,"")</f>
        <v/>
      </c>
      <c r="K190" s="12">
        <f>IF(AND(ISNUMBER($J190),$B190&lt;&gt;"",$B190='顧客カルテ'!$C$3),$J190,"")</f>
        <v/>
      </c>
    </row>
    <row r="191" ht="30" customHeight="1">
      <c r="A191" s="13" t="n"/>
      <c r="B191" s="7" t="n"/>
      <c r="C191" s="11">
        <f>IF($B191="","",IFERROR(INDEX('顧客一覧'!$C$5:$C$104,MATCH($B191,'顧客一覧'!$A$5:$A$104,0))&amp;"","※顧客一覧にないID"))</f>
        <v/>
      </c>
      <c r="D191" s="7" t="n"/>
      <c r="E191" s="7" t="n"/>
      <c r="F191" s="14" t="n"/>
      <c r="G191" s="14" t="n"/>
      <c r="H191" s="13" t="n"/>
      <c r="I191" s="31" t="n"/>
      <c r="J191" s="12">
        <f>IF(ISNUMBER($A191),$A191+ROW()/100000,"")</f>
        <v/>
      </c>
      <c r="K191" s="12">
        <f>IF(AND(ISNUMBER($J191),$B191&lt;&gt;"",$B191='顧客カルテ'!$C$3),$J191,"")</f>
        <v/>
      </c>
    </row>
    <row r="192" ht="30" customHeight="1">
      <c r="A192" s="13" t="n"/>
      <c r="B192" s="7" t="n"/>
      <c r="C192" s="11">
        <f>IF($B192="","",IFERROR(INDEX('顧客一覧'!$C$5:$C$104,MATCH($B192,'顧客一覧'!$A$5:$A$104,0))&amp;"","※顧客一覧にないID"))</f>
        <v/>
      </c>
      <c r="D192" s="7" t="n"/>
      <c r="E192" s="7" t="n"/>
      <c r="F192" s="14" t="n"/>
      <c r="G192" s="14" t="n"/>
      <c r="H192" s="13" t="n"/>
      <c r="I192" s="31" t="n"/>
      <c r="J192" s="12">
        <f>IF(ISNUMBER($A192),$A192+ROW()/100000,"")</f>
        <v/>
      </c>
      <c r="K192" s="12">
        <f>IF(AND(ISNUMBER($J192),$B192&lt;&gt;"",$B192='顧客カルテ'!$C$3),$J192,"")</f>
        <v/>
      </c>
    </row>
    <row r="193" ht="30" customHeight="1">
      <c r="A193" s="13" t="n"/>
      <c r="B193" s="7" t="n"/>
      <c r="C193" s="11">
        <f>IF($B193="","",IFERROR(INDEX('顧客一覧'!$C$5:$C$104,MATCH($B193,'顧客一覧'!$A$5:$A$104,0))&amp;"","※顧客一覧にないID"))</f>
        <v/>
      </c>
      <c r="D193" s="7" t="n"/>
      <c r="E193" s="7" t="n"/>
      <c r="F193" s="14" t="n"/>
      <c r="G193" s="14" t="n"/>
      <c r="H193" s="13" t="n"/>
      <c r="I193" s="31" t="n"/>
      <c r="J193" s="12">
        <f>IF(ISNUMBER($A193),$A193+ROW()/100000,"")</f>
        <v/>
      </c>
      <c r="K193" s="12">
        <f>IF(AND(ISNUMBER($J193),$B193&lt;&gt;"",$B193='顧客カルテ'!$C$3),$J193,"")</f>
        <v/>
      </c>
    </row>
    <row r="194" ht="30" customHeight="1">
      <c r="A194" s="13" t="n"/>
      <c r="B194" s="7" t="n"/>
      <c r="C194" s="11">
        <f>IF($B194="","",IFERROR(INDEX('顧客一覧'!$C$5:$C$104,MATCH($B194,'顧客一覧'!$A$5:$A$104,0))&amp;"","※顧客一覧にないID"))</f>
        <v/>
      </c>
      <c r="D194" s="7" t="n"/>
      <c r="E194" s="7" t="n"/>
      <c r="F194" s="14" t="n"/>
      <c r="G194" s="14" t="n"/>
      <c r="H194" s="13" t="n"/>
      <c r="I194" s="31" t="n"/>
      <c r="J194" s="12">
        <f>IF(ISNUMBER($A194),$A194+ROW()/100000,"")</f>
        <v/>
      </c>
      <c r="K194" s="12">
        <f>IF(AND(ISNUMBER($J194),$B194&lt;&gt;"",$B194='顧客カルテ'!$C$3),$J194,"")</f>
        <v/>
      </c>
    </row>
    <row r="195" ht="30" customHeight="1">
      <c r="A195" s="13" t="n"/>
      <c r="B195" s="7" t="n"/>
      <c r="C195" s="11">
        <f>IF($B195="","",IFERROR(INDEX('顧客一覧'!$C$5:$C$104,MATCH($B195,'顧客一覧'!$A$5:$A$104,0))&amp;"","※顧客一覧にないID"))</f>
        <v/>
      </c>
      <c r="D195" s="7" t="n"/>
      <c r="E195" s="7" t="n"/>
      <c r="F195" s="14" t="n"/>
      <c r="G195" s="14" t="n"/>
      <c r="H195" s="13" t="n"/>
      <c r="I195" s="31" t="n"/>
      <c r="J195" s="12">
        <f>IF(ISNUMBER($A195),$A195+ROW()/100000,"")</f>
        <v/>
      </c>
      <c r="K195" s="12">
        <f>IF(AND(ISNUMBER($J195),$B195&lt;&gt;"",$B195='顧客カルテ'!$C$3),$J195,"")</f>
        <v/>
      </c>
    </row>
    <row r="196" ht="30" customHeight="1">
      <c r="A196" s="13" t="n"/>
      <c r="B196" s="7" t="n"/>
      <c r="C196" s="11">
        <f>IF($B196="","",IFERROR(INDEX('顧客一覧'!$C$5:$C$104,MATCH($B196,'顧客一覧'!$A$5:$A$104,0))&amp;"","※顧客一覧にないID"))</f>
        <v/>
      </c>
      <c r="D196" s="7" t="n"/>
      <c r="E196" s="7" t="n"/>
      <c r="F196" s="14" t="n"/>
      <c r="G196" s="14" t="n"/>
      <c r="H196" s="13" t="n"/>
      <c r="I196" s="31" t="n"/>
      <c r="J196" s="12">
        <f>IF(ISNUMBER($A196),$A196+ROW()/100000,"")</f>
        <v/>
      </c>
      <c r="K196" s="12">
        <f>IF(AND(ISNUMBER($J196),$B196&lt;&gt;"",$B196='顧客カルテ'!$C$3),$J196,"")</f>
        <v/>
      </c>
    </row>
    <row r="197" ht="30" customHeight="1">
      <c r="A197" s="13" t="n"/>
      <c r="B197" s="7" t="n"/>
      <c r="C197" s="11">
        <f>IF($B197="","",IFERROR(INDEX('顧客一覧'!$C$5:$C$104,MATCH($B197,'顧客一覧'!$A$5:$A$104,0))&amp;"","※顧客一覧にないID"))</f>
        <v/>
      </c>
      <c r="D197" s="7" t="n"/>
      <c r="E197" s="7" t="n"/>
      <c r="F197" s="14" t="n"/>
      <c r="G197" s="14" t="n"/>
      <c r="H197" s="13" t="n"/>
      <c r="I197" s="31" t="n"/>
      <c r="J197" s="12">
        <f>IF(ISNUMBER($A197),$A197+ROW()/100000,"")</f>
        <v/>
      </c>
      <c r="K197" s="12">
        <f>IF(AND(ISNUMBER($J197),$B197&lt;&gt;"",$B197='顧客カルテ'!$C$3),$J197,"")</f>
        <v/>
      </c>
    </row>
    <row r="198" ht="30" customHeight="1">
      <c r="A198" s="13" t="n"/>
      <c r="B198" s="7" t="n"/>
      <c r="C198" s="11">
        <f>IF($B198="","",IFERROR(INDEX('顧客一覧'!$C$5:$C$104,MATCH($B198,'顧客一覧'!$A$5:$A$104,0))&amp;"","※顧客一覧にないID"))</f>
        <v/>
      </c>
      <c r="D198" s="7" t="n"/>
      <c r="E198" s="7" t="n"/>
      <c r="F198" s="14" t="n"/>
      <c r="G198" s="14" t="n"/>
      <c r="H198" s="13" t="n"/>
      <c r="I198" s="31" t="n"/>
      <c r="J198" s="12">
        <f>IF(ISNUMBER($A198),$A198+ROW()/100000,"")</f>
        <v/>
      </c>
      <c r="K198" s="12">
        <f>IF(AND(ISNUMBER($J198),$B198&lt;&gt;"",$B198='顧客カルテ'!$C$3),$J198,"")</f>
        <v/>
      </c>
    </row>
    <row r="199" ht="30" customHeight="1">
      <c r="A199" s="13" t="n"/>
      <c r="B199" s="7" t="n"/>
      <c r="C199" s="11">
        <f>IF($B199="","",IFERROR(INDEX('顧客一覧'!$C$5:$C$104,MATCH($B199,'顧客一覧'!$A$5:$A$104,0))&amp;"","※顧客一覧にないID"))</f>
        <v/>
      </c>
      <c r="D199" s="7" t="n"/>
      <c r="E199" s="7" t="n"/>
      <c r="F199" s="14" t="n"/>
      <c r="G199" s="14" t="n"/>
      <c r="H199" s="13" t="n"/>
      <c r="I199" s="31" t="n"/>
      <c r="J199" s="12">
        <f>IF(ISNUMBER($A199),$A199+ROW()/100000,"")</f>
        <v/>
      </c>
      <c r="K199" s="12">
        <f>IF(AND(ISNUMBER($J199),$B199&lt;&gt;"",$B199='顧客カルテ'!$C$3),$J199,"")</f>
        <v/>
      </c>
    </row>
    <row r="200" ht="30" customHeight="1">
      <c r="A200" s="13" t="n"/>
      <c r="B200" s="7" t="n"/>
      <c r="C200" s="11">
        <f>IF($B200="","",IFERROR(INDEX('顧客一覧'!$C$5:$C$104,MATCH($B200,'顧客一覧'!$A$5:$A$104,0))&amp;"","※顧客一覧にないID"))</f>
        <v/>
      </c>
      <c r="D200" s="7" t="n"/>
      <c r="E200" s="7" t="n"/>
      <c r="F200" s="14" t="n"/>
      <c r="G200" s="14" t="n"/>
      <c r="H200" s="13" t="n"/>
      <c r="I200" s="31" t="n"/>
      <c r="J200" s="12">
        <f>IF(ISNUMBER($A200),$A200+ROW()/100000,"")</f>
        <v/>
      </c>
      <c r="K200" s="12">
        <f>IF(AND(ISNUMBER($J200),$B200&lt;&gt;"",$B200='顧客カルテ'!$C$3),$J200,"")</f>
        <v/>
      </c>
    </row>
    <row r="201" ht="30" customHeight="1">
      <c r="A201" s="13" t="n"/>
      <c r="B201" s="7" t="n"/>
      <c r="C201" s="11">
        <f>IF($B201="","",IFERROR(INDEX('顧客一覧'!$C$5:$C$104,MATCH($B201,'顧客一覧'!$A$5:$A$104,0))&amp;"","※顧客一覧にないID"))</f>
        <v/>
      </c>
      <c r="D201" s="7" t="n"/>
      <c r="E201" s="7" t="n"/>
      <c r="F201" s="14" t="n"/>
      <c r="G201" s="14" t="n"/>
      <c r="H201" s="13" t="n"/>
      <c r="I201" s="31" t="n"/>
      <c r="J201" s="12">
        <f>IF(ISNUMBER($A201),$A201+ROW()/100000,"")</f>
        <v/>
      </c>
      <c r="K201" s="12">
        <f>IF(AND(ISNUMBER($J201),$B201&lt;&gt;"",$B201='顧客カルテ'!$C$3),$J201,"")</f>
        <v/>
      </c>
    </row>
    <row r="202" ht="30" customHeight="1">
      <c r="A202" s="13" t="n"/>
      <c r="B202" s="7" t="n"/>
      <c r="C202" s="11">
        <f>IF($B202="","",IFERROR(INDEX('顧客一覧'!$C$5:$C$104,MATCH($B202,'顧客一覧'!$A$5:$A$104,0))&amp;"","※顧客一覧にないID"))</f>
        <v/>
      </c>
      <c r="D202" s="7" t="n"/>
      <c r="E202" s="7" t="n"/>
      <c r="F202" s="14" t="n"/>
      <c r="G202" s="14" t="n"/>
      <c r="H202" s="13" t="n"/>
      <c r="I202" s="31" t="n"/>
      <c r="J202" s="12">
        <f>IF(ISNUMBER($A202),$A202+ROW()/100000,"")</f>
        <v/>
      </c>
      <c r="K202" s="12">
        <f>IF(AND(ISNUMBER($J202),$B202&lt;&gt;"",$B202='顧客カルテ'!$C$3),$J202,"")</f>
        <v/>
      </c>
    </row>
    <row r="203" ht="30" customHeight="1">
      <c r="A203" s="13" t="n"/>
      <c r="B203" s="7" t="n"/>
      <c r="C203" s="11">
        <f>IF($B203="","",IFERROR(INDEX('顧客一覧'!$C$5:$C$104,MATCH($B203,'顧客一覧'!$A$5:$A$104,0))&amp;"","※顧客一覧にないID"))</f>
        <v/>
      </c>
      <c r="D203" s="7" t="n"/>
      <c r="E203" s="7" t="n"/>
      <c r="F203" s="14" t="n"/>
      <c r="G203" s="14" t="n"/>
      <c r="H203" s="13" t="n"/>
      <c r="I203" s="31" t="n"/>
      <c r="J203" s="12">
        <f>IF(ISNUMBER($A203),$A203+ROW()/100000,"")</f>
        <v/>
      </c>
      <c r="K203" s="12">
        <f>IF(AND(ISNUMBER($J203),$B203&lt;&gt;"",$B203='顧客カルテ'!$C$3),$J203,"")</f>
        <v/>
      </c>
    </row>
    <row r="204" ht="30" customHeight="1">
      <c r="A204" s="13" t="n"/>
      <c r="B204" s="7" t="n"/>
      <c r="C204" s="11">
        <f>IF($B204="","",IFERROR(INDEX('顧客一覧'!$C$5:$C$104,MATCH($B204,'顧客一覧'!$A$5:$A$104,0))&amp;"","※顧客一覧にないID"))</f>
        <v/>
      </c>
      <c r="D204" s="7" t="n"/>
      <c r="E204" s="7" t="n"/>
      <c r="F204" s="14" t="n"/>
      <c r="G204" s="14" t="n"/>
      <c r="H204" s="13" t="n"/>
      <c r="I204" s="31" t="n"/>
      <c r="J204" s="12">
        <f>IF(ISNUMBER($A204),$A204+ROW()/100000,"")</f>
        <v/>
      </c>
      <c r="K204" s="12">
        <f>IF(AND(ISNUMBER($J204),$B204&lt;&gt;"",$B204='顧客カルテ'!$C$3),$J204,"")</f>
        <v/>
      </c>
    </row>
    <row r="205" ht="30" customHeight="1">
      <c r="A205" s="13" t="n"/>
      <c r="B205" s="7" t="n"/>
      <c r="C205" s="11">
        <f>IF($B205="","",IFERROR(INDEX('顧客一覧'!$C$5:$C$104,MATCH($B205,'顧客一覧'!$A$5:$A$104,0))&amp;"","※顧客一覧にないID"))</f>
        <v/>
      </c>
      <c r="D205" s="7" t="n"/>
      <c r="E205" s="7" t="n"/>
      <c r="F205" s="14" t="n"/>
      <c r="G205" s="14" t="n"/>
      <c r="H205" s="13" t="n"/>
      <c r="I205" s="31" t="n"/>
      <c r="J205" s="12">
        <f>IF(ISNUMBER($A205),$A205+ROW()/100000,"")</f>
        <v/>
      </c>
      <c r="K205" s="12">
        <f>IF(AND(ISNUMBER($J205),$B205&lt;&gt;"",$B205='顧客カルテ'!$C$3),$J205,"")</f>
        <v/>
      </c>
    </row>
    <row r="206" ht="30" customHeight="1">
      <c r="A206" s="13" t="n"/>
      <c r="B206" s="7" t="n"/>
      <c r="C206" s="11">
        <f>IF($B206="","",IFERROR(INDEX('顧客一覧'!$C$5:$C$104,MATCH($B206,'顧客一覧'!$A$5:$A$104,0))&amp;"","※顧客一覧にないID"))</f>
        <v/>
      </c>
      <c r="D206" s="7" t="n"/>
      <c r="E206" s="7" t="n"/>
      <c r="F206" s="14" t="n"/>
      <c r="G206" s="14" t="n"/>
      <c r="H206" s="13" t="n"/>
      <c r="I206" s="31" t="n"/>
      <c r="J206" s="12">
        <f>IF(ISNUMBER($A206),$A206+ROW()/100000,"")</f>
        <v/>
      </c>
      <c r="K206" s="12">
        <f>IF(AND(ISNUMBER($J206),$B206&lt;&gt;"",$B206='顧客カルテ'!$C$3),$J206,"")</f>
        <v/>
      </c>
    </row>
    <row r="207" ht="30" customHeight="1">
      <c r="A207" s="13" t="n"/>
      <c r="B207" s="7" t="n"/>
      <c r="C207" s="11">
        <f>IF($B207="","",IFERROR(INDEX('顧客一覧'!$C$5:$C$104,MATCH($B207,'顧客一覧'!$A$5:$A$104,0))&amp;"","※顧客一覧にないID"))</f>
        <v/>
      </c>
      <c r="D207" s="7" t="n"/>
      <c r="E207" s="7" t="n"/>
      <c r="F207" s="14" t="n"/>
      <c r="G207" s="14" t="n"/>
      <c r="H207" s="13" t="n"/>
      <c r="I207" s="31" t="n"/>
      <c r="J207" s="12">
        <f>IF(ISNUMBER($A207),$A207+ROW()/100000,"")</f>
        <v/>
      </c>
      <c r="K207" s="12">
        <f>IF(AND(ISNUMBER($J207),$B207&lt;&gt;"",$B207='顧客カルテ'!$C$3),$J207,"")</f>
        <v/>
      </c>
    </row>
    <row r="208" ht="30" customHeight="1">
      <c r="A208" s="13" t="n"/>
      <c r="B208" s="7" t="n"/>
      <c r="C208" s="11">
        <f>IF($B208="","",IFERROR(INDEX('顧客一覧'!$C$5:$C$104,MATCH($B208,'顧客一覧'!$A$5:$A$104,0))&amp;"","※顧客一覧にないID"))</f>
        <v/>
      </c>
      <c r="D208" s="7" t="n"/>
      <c r="E208" s="7" t="n"/>
      <c r="F208" s="14" t="n"/>
      <c r="G208" s="14" t="n"/>
      <c r="H208" s="13" t="n"/>
      <c r="I208" s="31" t="n"/>
      <c r="J208" s="12">
        <f>IF(ISNUMBER($A208),$A208+ROW()/100000,"")</f>
        <v/>
      </c>
      <c r="K208" s="12">
        <f>IF(AND(ISNUMBER($J208),$B208&lt;&gt;"",$B208='顧客カルテ'!$C$3),$J208,"")</f>
        <v/>
      </c>
    </row>
    <row r="209" ht="30" customHeight="1">
      <c r="A209" s="13" t="n"/>
      <c r="B209" s="7" t="n"/>
      <c r="C209" s="11">
        <f>IF($B209="","",IFERROR(INDEX('顧客一覧'!$C$5:$C$104,MATCH($B209,'顧客一覧'!$A$5:$A$104,0))&amp;"","※顧客一覧にないID"))</f>
        <v/>
      </c>
      <c r="D209" s="7" t="n"/>
      <c r="E209" s="7" t="n"/>
      <c r="F209" s="14" t="n"/>
      <c r="G209" s="14" t="n"/>
      <c r="H209" s="13" t="n"/>
      <c r="I209" s="31" t="n"/>
      <c r="J209" s="12">
        <f>IF(ISNUMBER($A209),$A209+ROW()/100000,"")</f>
        <v/>
      </c>
      <c r="K209" s="12">
        <f>IF(AND(ISNUMBER($J209),$B209&lt;&gt;"",$B209='顧客カルテ'!$C$3),$J209,"")</f>
        <v/>
      </c>
    </row>
    <row r="210" ht="30" customHeight="1">
      <c r="A210" s="13" t="n"/>
      <c r="B210" s="7" t="n"/>
      <c r="C210" s="11">
        <f>IF($B210="","",IFERROR(INDEX('顧客一覧'!$C$5:$C$104,MATCH($B210,'顧客一覧'!$A$5:$A$104,0))&amp;"","※顧客一覧にないID"))</f>
        <v/>
      </c>
      <c r="D210" s="7" t="n"/>
      <c r="E210" s="7" t="n"/>
      <c r="F210" s="14" t="n"/>
      <c r="G210" s="14" t="n"/>
      <c r="H210" s="13" t="n"/>
      <c r="I210" s="31" t="n"/>
      <c r="J210" s="12">
        <f>IF(ISNUMBER($A210),$A210+ROW()/100000,"")</f>
        <v/>
      </c>
      <c r="K210" s="12">
        <f>IF(AND(ISNUMBER($J210),$B210&lt;&gt;"",$B210='顧客カルテ'!$C$3),$J210,"")</f>
        <v/>
      </c>
    </row>
    <row r="211" ht="30" customHeight="1">
      <c r="A211" s="13" t="n"/>
      <c r="B211" s="7" t="n"/>
      <c r="C211" s="11">
        <f>IF($B211="","",IFERROR(INDEX('顧客一覧'!$C$5:$C$104,MATCH($B211,'顧客一覧'!$A$5:$A$104,0))&amp;"","※顧客一覧にないID"))</f>
        <v/>
      </c>
      <c r="D211" s="7" t="n"/>
      <c r="E211" s="7" t="n"/>
      <c r="F211" s="14" t="n"/>
      <c r="G211" s="14" t="n"/>
      <c r="H211" s="13" t="n"/>
      <c r="I211" s="31" t="n"/>
      <c r="J211" s="12">
        <f>IF(ISNUMBER($A211),$A211+ROW()/100000,"")</f>
        <v/>
      </c>
      <c r="K211" s="12">
        <f>IF(AND(ISNUMBER($J211),$B211&lt;&gt;"",$B211='顧客カルテ'!$C$3),$J211,"")</f>
        <v/>
      </c>
    </row>
    <row r="212" ht="30" customHeight="1">
      <c r="A212" s="13" t="n"/>
      <c r="B212" s="7" t="n"/>
      <c r="C212" s="11">
        <f>IF($B212="","",IFERROR(INDEX('顧客一覧'!$C$5:$C$104,MATCH($B212,'顧客一覧'!$A$5:$A$104,0))&amp;"","※顧客一覧にないID"))</f>
        <v/>
      </c>
      <c r="D212" s="7" t="n"/>
      <c r="E212" s="7" t="n"/>
      <c r="F212" s="14" t="n"/>
      <c r="G212" s="14" t="n"/>
      <c r="H212" s="13" t="n"/>
      <c r="I212" s="31" t="n"/>
      <c r="J212" s="12">
        <f>IF(ISNUMBER($A212),$A212+ROW()/100000,"")</f>
        <v/>
      </c>
      <c r="K212" s="12">
        <f>IF(AND(ISNUMBER($J212),$B212&lt;&gt;"",$B212='顧客カルテ'!$C$3),$J212,"")</f>
        <v/>
      </c>
    </row>
    <row r="213" ht="30" customHeight="1">
      <c r="A213" s="13" t="n"/>
      <c r="B213" s="7" t="n"/>
      <c r="C213" s="11">
        <f>IF($B213="","",IFERROR(INDEX('顧客一覧'!$C$5:$C$104,MATCH($B213,'顧客一覧'!$A$5:$A$104,0))&amp;"","※顧客一覧にないID"))</f>
        <v/>
      </c>
      <c r="D213" s="7" t="n"/>
      <c r="E213" s="7" t="n"/>
      <c r="F213" s="14" t="n"/>
      <c r="G213" s="14" t="n"/>
      <c r="H213" s="13" t="n"/>
      <c r="I213" s="31" t="n"/>
      <c r="J213" s="12">
        <f>IF(ISNUMBER($A213),$A213+ROW()/100000,"")</f>
        <v/>
      </c>
      <c r="K213" s="12">
        <f>IF(AND(ISNUMBER($J213),$B213&lt;&gt;"",$B213='顧客カルテ'!$C$3),$J213,"")</f>
        <v/>
      </c>
    </row>
    <row r="214" ht="30" customHeight="1">
      <c r="A214" s="13" t="n"/>
      <c r="B214" s="7" t="n"/>
      <c r="C214" s="11">
        <f>IF($B214="","",IFERROR(INDEX('顧客一覧'!$C$5:$C$104,MATCH($B214,'顧客一覧'!$A$5:$A$104,0))&amp;"","※顧客一覧にないID"))</f>
        <v/>
      </c>
      <c r="D214" s="7" t="n"/>
      <c r="E214" s="7" t="n"/>
      <c r="F214" s="14" t="n"/>
      <c r="G214" s="14" t="n"/>
      <c r="H214" s="13" t="n"/>
      <c r="I214" s="31" t="n"/>
      <c r="J214" s="12">
        <f>IF(ISNUMBER($A214),$A214+ROW()/100000,"")</f>
        <v/>
      </c>
      <c r="K214" s="12">
        <f>IF(AND(ISNUMBER($J214),$B214&lt;&gt;"",$B214='顧客カルテ'!$C$3),$J214,"")</f>
        <v/>
      </c>
    </row>
    <row r="215" ht="30" customHeight="1">
      <c r="A215" s="13" t="n"/>
      <c r="B215" s="7" t="n"/>
      <c r="C215" s="11">
        <f>IF($B215="","",IFERROR(INDEX('顧客一覧'!$C$5:$C$104,MATCH($B215,'顧客一覧'!$A$5:$A$104,0))&amp;"","※顧客一覧にないID"))</f>
        <v/>
      </c>
      <c r="D215" s="7" t="n"/>
      <c r="E215" s="7" t="n"/>
      <c r="F215" s="14" t="n"/>
      <c r="G215" s="14" t="n"/>
      <c r="H215" s="13" t="n"/>
      <c r="I215" s="31" t="n"/>
      <c r="J215" s="12">
        <f>IF(ISNUMBER($A215),$A215+ROW()/100000,"")</f>
        <v/>
      </c>
      <c r="K215" s="12">
        <f>IF(AND(ISNUMBER($J215),$B215&lt;&gt;"",$B215='顧客カルテ'!$C$3),$J215,"")</f>
        <v/>
      </c>
    </row>
    <row r="216" ht="30" customHeight="1">
      <c r="A216" s="13" t="n"/>
      <c r="B216" s="7" t="n"/>
      <c r="C216" s="11">
        <f>IF($B216="","",IFERROR(INDEX('顧客一覧'!$C$5:$C$104,MATCH($B216,'顧客一覧'!$A$5:$A$104,0))&amp;"","※顧客一覧にないID"))</f>
        <v/>
      </c>
      <c r="D216" s="7" t="n"/>
      <c r="E216" s="7" t="n"/>
      <c r="F216" s="14" t="n"/>
      <c r="G216" s="14" t="n"/>
      <c r="H216" s="13" t="n"/>
      <c r="I216" s="31" t="n"/>
      <c r="J216" s="12">
        <f>IF(ISNUMBER($A216),$A216+ROW()/100000,"")</f>
        <v/>
      </c>
      <c r="K216" s="12">
        <f>IF(AND(ISNUMBER($J216),$B216&lt;&gt;"",$B216='顧客カルテ'!$C$3),$J216,"")</f>
        <v/>
      </c>
    </row>
    <row r="217" ht="30" customHeight="1">
      <c r="A217" s="13" t="n"/>
      <c r="B217" s="7" t="n"/>
      <c r="C217" s="11">
        <f>IF($B217="","",IFERROR(INDEX('顧客一覧'!$C$5:$C$104,MATCH($B217,'顧客一覧'!$A$5:$A$104,0))&amp;"","※顧客一覧にないID"))</f>
        <v/>
      </c>
      <c r="D217" s="7" t="n"/>
      <c r="E217" s="7" t="n"/>
      <c r="F217" s="14" t="n"/>
      <c r="G217" s="14" t="n"/>
      <c r="H217" s="13" t="n"/>
      <c r="I217" s="31" t="n"/>
      <c r="J217" s="12">
        <f>IF(ISNUMBER($A217),$A217+ROW()/100000,"")</f>
        <v/>
      </c>
      <c r="K217" s="12">
        <f>IF(AND(ISNUMBER($J217),$B217&lt;&gt;"",$B217='顧客カルテ'!$C$3),$J217,"")</f>
        <v/>
      </c>
    </row>
    <row r="218" ht="30" customHeight="1">
      <c r="A218" s="13" t="n"/>
      <c r="B218" s="7" t="n"/>
      <c r="C218" s="11">
        <f>IF($B218="","",IFERROR(INDEX('顧客一覧'!$C$5:$C$104,MATCH($B218,'顧客一覧'!$A$5:$A$104,0))&amp;"","※顧客一覧にないID"))</f>
        <v/>
      </c>
      <c r="D218" s="7" t="n"/>
      <c r="E218" s="7" t="n"/>
      <c r="F218" s="14" t="n"/>
      <c r="G218" s="14" t="n"/>
      <c r="H218" s="13" t="n"/>
      <c r="I218" s="31" t="n"/>
      <c r="J218" s="12">
        <f>IF(ISNUMBER($A218),$A218+ROW()/100000,"")</f>
        <v/>
      </c>
      <c r="K218" s="12">
        <f>IF(AND(ISNUMBER($J218),$B218&lt;&gt;"",$B218='顧客カルテ'!$C$3),$J218,"")</f>
        <v/>
      </c>
    </row>
    <row r="219" ht="30" customHeight="1">
      <c r="A219" s="13" t="n"/>
      <c r="B219" s="7" t="n"/>
      <c r="C219" s="11">
        <f>IF($B219="","",IFERROR(INDEX('顧客一覧'!$C$5:$C$104,MATCH($B219,'顧客一覧'!$A$5:$A$104,0))&amp;"","※顧客一覧にないID"))</f>
        <v/>
      </c>
      <c r="D219" s="7" t="n"/>
      <c r="E219" s="7" t="n"/>
      <c r="F219" s="14" t="n"/>
      <c r="G219" s="14" t="n"/>
      <c r="H219" s="13" t="n"/>
      <c r="I219" s="31" t="n"/>
      <c r="J219" s="12">
        <f>IF(ISNUMBER($A219),$A219+ROW()/100000,"")</f>
        <v/>
      </c>
      <c r="K219" s="12">
        <f>IF(AND(ISNUMBER($J219),$B219&lt;&gt;"",$B219='顧客カルテ'!$C$3),$J219,"")</f>
        <v/>
      </c>
    </row>
    <row r="220" ht="30" customHeight="1">
      <c r="A220" s="13" t="n"/>
      <c r="B220" s="7" t="n"/>
      <c r="C220" s="11">
        <f>IF($B220="","",IFERROR(INDEX('顧客一覧'!$C$5:$C$104,MATCH($B220,'顧客一覧'!$A$5:$A$104,0))&amp;"","※顧客一覧にないID"))</f>
        <v/>
      </c>
      <c r="D220" s="7" t="n"/>
      <c r="E220" s="7" t="n"/>
      <c r="F220" s="14" t="n"/>
      <c r="G220" s="14" t="n"/>
      <c r="H220" s="13" t="n"/>
      <c r="I220" s="31" t="n"/>
      <c r="J220" s="12">
        <f>IF(ISNUMBER($A220),$A220+ROW()/100000,"")</f>
        <v/>
      </c>
      <c r="K220" s="12">
        <f>IF(AND(ISNUMBER($J220),$B220&lt;&gt;"",$B220='顧客カルテ'!$C$3),$J220,"")</f>
        <v/>
      </c>
    </row>
    <row r="221" ht="30" customHeight="1">
      <c r="A221" s="13" t="n"/>
      <c r="B221" s="7" t="n"/>
      <c r="C221" s="11">
        <f>IF($B221="","",IFERROR(INDEX('顧客一覧'!$C$5:$C$104,MATCH($B221,'顧客一覧'!$A$5:$A$104,0))&amp;"","※顧客一覧にないID"))</f>
        <v/>
      </c>
      <c r="D221" s="7" t="n"/>
      <c r="E221" s="7" t="n"/>
      <c r="F221" s="14" t="n"/>
      <c r="G221" s="14" t="n"/>
      <c r="H221" s="13" t="n"/>
      <c r="I221" s="31" t="n"/>
      <c r="J221" s="12">
        <f>IF(ISNUMBER($A221),$A221+ROW()/100000,"")</f>
        <v/>
      </c>
      <c r="K221" s="12">
        <f>IF(AND(ISNUMBER($J221),$B221&lt;&gt;"",$B221='顧客カルテ'!$C$3),$J221,"")</f>
        <v/>
      </c>
    </row>
    <row r="222" ht="30" customHeight="1">
      <c r="A222" s="13" t="n"/>
      <c r="B222" s="7" t="n"/>
      <c r="C222" s="11">
        <f>IF($B222="","",IFERROR(INDEX('顧客一覧'!$C$5:$C$104,MATCH($B222,'顧客一覧'!$A$5:$A$104,0))&amp;"","※顧客一覧にないID"))</f>
        <v/>
      </c>
      <c r="D222" s="7" t="n"/>
      <c r="E222" s="7" t="n"/>
      <c r="F222" s="14" t="n"/>
      <c r="G222" s="14" t="n"/>
      <c r="H222" s="13" t="n"/>
      <c r="I222" s="31" t="n"/>
      <c r="J222" s="12">
        <f>IF(ISNUMBER($A222),$A222+ROW()/100000,"")</f>
        <v/>
      </c>
      <c r="K222" s="12">
        <f>IF(AND(ISNUMBER($J222),$B222&lt;&gt;"",$B222='顧客カルテ'!$C$3),$J222,"")</f>
        <v/>
      </c>
    </row>
    <row r="223" ht="30" customHeight="1">
      <c r="A223" s="13" t="n"/>
      <c r="B223" s="7" t="n"/>
      <c r="C223" s="11">
        <f>IF($B223="","",IFERROR(INDEX('顧客一覧'!$C$5:$C$104,MATCH($B223,'顧客一覧'!$A$5:$A$104,0))&amp;"","※顧客一覧にないID"))</f>
        <v/>
      </c>
      <c r="D223" s="7" t="n"/>
      <c r="E223" s="7" t="n"/>
      <c r="F223" s="14" t="n"/>
      <c r="G223" s="14" t="n"/>
      <c r="H223" s="13" t="n"/>
      <c r="I223" s="31" t="n"/>
      <c r="J223" s="12">
        <f>IF(ISNUMBER($A223),$A223+ROW()/100000,"")</f>
        <v/>
      </c>
      <c r="K223" s="12">
        <f>IF(AND(ISNUMBER($J223),$B223&lt;&gt;"",$B223='顧客カルテ'!$C$3),$J223,"")</f>
        <v/>
      </c>
    </row>
    <row r="224" ht="30" customHeight="1">
      <c r="A224" s="13" t="n"/>
      <c r="B224" s="7" t="n"/>
      <c r="C224" s="11">
        <f>IF($B224="","",IFERROR(INDEX('顧客一覧'!$C$5:$C$104,MATCH($B224,'顧客一覧'!$A$5:$A$104,0))&amp;"","※顧客一覧にないID"))</f>
        <v/>
      </c>
      <c r="D224" s="7" t="n"/>
      <c r="E224" s="7" t="n"/>
      <c r="F224" s="14" t="n"/>
      <c r="G224" s="14" t="n"/>
      <c r="H224" s="13" t="n"/>
      <c r="I224" s="31" t="n"/>
      <c r="J224" s="12">
        <f>IF(ISNUMBER($A224),$A224+ROW()/100000,"")</f>
        <v/>
      </c>
      <c r="K224" s="12">
        <f>IF(AND(ISNUMBER($J224),$B224&lt;&gt;"",$B224='顧客カルテ'!$C$3),$J224,"")</f>
        <v/>
      </c>
    </row>
    <row r="225" ht="30" customHeight="1">
      <c r="A225" s="13" t="n"/>
      <c r="B225" s="7" t="n"/>
      <c r="C225" s="11">
        <f>IF($B225="","",IFERROR(INDEX('顧客一覧'!$C$5:$C$104,MATCH($B225,'顧客一覧'!$A$5:$A$104,0))&amp;"","※顧客一覧にないID"))</f>
        <v/>
      </c>
      <c r="D225" s="7" t="n"/>
      <c r="E225" s="7" t="n"/>
      <c r="F225" s="14" t="n"/>
      <c r="G225" s="14" t="n"/>
      <c r="H225" s="13" t="n"/>
      <c r="I225" s="31" t="n"/>
      <c r="J225" s="12">
        <f>IF(ISNUMBER($A225),$A225+ROW()/100000,"")</f>
        <v/>
      </c>
      <c r="K225" s="12">
        <f>IF(AND(ISNUMBER($J225),$B225&lt;&gt;"",$B225='顧客カルテ'!$C$3),$J225,"")</f>
        <v/>
      </c>
    </row>
    <row r="226" ht="30" customHeight="1">
      <c r="A226" s="13" t="n"/>
      <c r="B226" s="7" t="n"/>
      <c r="C226" s="11">
        <f>IF($B226="","",IFERROR(INDEX('顧客一覧'!$C$5:$C$104,MATCH($B226,'顧客一覧'!$A$5:$A$104,0))&amp;"","※顧客一覧にないID"))</f>
        <v/>
      </c>
      <c r="D226" s="7" t="n"/>
      <c r="E226" s="7" t="n"/>
      <c r="F226" s="14" t="n"/>
      <c r="G226" s="14" t="n"/>
      <c r="H226" s="13" t="n"/>
      <c r="I226" s="31" t="n"/>
      <c r="J226" s="12">
        <f>IF(ISNUMBER($A226),$A226+ROW()/100000,"")</f>
        <v/>
      </c>
      <c r="K226" s="12">
        <f>IF(AND(ISNUMBER($J226),$B226&lt;&gt;"",$B226='顧客カルテ'!$C$3),$J226,"")</f>
        <v/>
      </c>
    </row>
    <row r="227" ht="30" customHeight="1">
      <c r="A227" s="13" t="n"/>
      <c r="B227" s="7" t="n"/>
      <c r="C227" s="11">
        <f>IF($B227="","",IFERROR(INDEX('顧客一覧'!$C$5:$C$104,MATCH($B227,'顧客一覧'!$A$5:$A$104,0))&amp;"","※顧客一覧にないID"))</f>
        <v/>
      </c>
      <c r="D227" s="7" t="n"/>
      <c r="E227" s="7" t="n"/>
      <c r="F227" s="14" t="n"/>
      <c r="G227" s="14" t="n"/>
      <c r="H227" s="13" t="n"/>
      <c r="I227" s="31" t="n"/>
      <c r="J227" s="12">
        <f>IF(ISNUMBER($A227),$A227+ROW()/100000,"")</f>
        <v/>
      </c>
      <c r="K227" s="12">
        <f>IF(AND(ISNUMBER($J227),$B227&lt;&gt;"",$B227='顧客カルテ'!$C$3),$J227,"")</f>
        <v/>
      </c>
    </row>
    <row r="228" ht="30" customHeight="1">
      <c r="A228" s="13" t="n"/>
      <c r="B228" s="7" t="n"/>
      <c r="C228" s="11">
        <f>IF($B228="","",IFERROR(INDEX('顧客一覧'!$C$5:$C$104,MATCH($B228,'顧客一覧'!$A$5:$A$104,0))&amp;"","※顧客一覧にないID"))</f>
        <v/>
      </c>
      <c r="D228" s="7" t="n"/>
      <c r="E228" s="7" t="n"/>
      <c r="F228" s="14" t="n"/>
      <c r="G228" s="14" t="n"/>
      <c r="H228" s="13" t="n"/>
      <c r="I228" s="31" t="n"/>
      <c r="J228" s="12">
        <f>IF(ISNUMBER($A228),$A228+ROW()/100000,"")</f>
        <v/>
      </c>
      <c r="K228" s="12">
        <f>IF(AND(ISNUMBER($J228),$B228&lt;&gt;"",$B228='顧客カルテ'!$C$3),$J228,"")</f>
        <v/>
      </c>
    </row>
    <row r="229" ht="30" customHeight="1">
      <c r="A229" s="13" t="n"/>
      <c r="B229" s="7" t="n"/>
      <c r="C229" s="11">
        <f>IF($B229="","",IFERROR(INDEX('顧客一覧'!$C$5:$C$104,MATCH($B229,'顧客一覧'!$A$5:$A$104,0))&amp;"","※顧客一覧にないID"))</f>
        <v/>
      </c>
      <c r="D229" s="7" t="n"/>
      <c r="E229" s="7" t="n"/>
      <c r="F229" s="14" t="n"/>
      <c r="G229" s="14" t="n"/>
      <c r="H229" s="13" t="n"/>
      <c r="I229" s="31" t="n"/>
      <c r="J229" s="12">
        <f>IF(ISNUMBER($A229),$A229+ROW()/100000,"")</f>
        <v/>
      </c>
      <c r="K229" s="12">
        <f>IF(AND(ISNUMBER($J229),$B229&lt;&gt;"",$B229='顧客カルテ'!$C$3),$J229,"")</f>
        <v/>
      </c>
    </row>
    <row r="230" ht="30" customHeight="1">
      <c r="A230" s="13" t="n"/>
      <c r="B230" s="7" t="n"/>
      <c r="C230" s="11">
        <f>IF($B230="","",IFERROR(INDEX('顧客一覧'!$C$5:$C$104,MATCH($B230,'顧客一覧'!$A$5:$A$104,0))&amp;"","※顧客一覧にないID"))</f>
        <v/>
      </c>
      <c r="D230" s="7" t="n"/>
      <c r="E230" s="7" t="n"/>
      <c r="F230" s="14" t="n"/>
      <c r="G230" s="14" t="n"/>
      <c r="H230" s="13" t="n"/>
      <c r="I230" s="31" t="n"/>
      <c r="J230" s="12">
        <f>IF(ISNUMBER($A230),$A230+ROW()/100000,"")</f>
        <v/>
      </c>
      <c r="K230" s="12">
        <f>IF(AND(ISNUMBER($J230),$B230&lt;&gt;"",$B230='顧客カルテ'!$C$3),$J230,"")</f>
        <v/>
      </c>
    </row>
    <row r="231" ht="30" customHeight="1">
      <c r="A231" s="13" t="n"/>
      <c r="B231" s="7" t="n"/>
      <c r="C231" s="11">
        <f>IF($B231="","",IFERROR(INDEX('顧客一覧'!$C$5:$C$104,MATCH($B231,'顧客一覧'!$A$5:$A$104,0))&amp;"","※顧客一覧にないID"))</f>
        <v/>
      </c>
      <c r="D231" s="7" t="n"/>
      <c r="E231" s="7" t="n"/>
      <c r="F231" s="14" t="n"/>
      <c r="G231" s="14" t="n"/>
      <c r="H231" s="13" t="n"/>
      <c r="I231" s="31" t="n"/>
      <c r="J231" s="12">
        <f>IF(ISNUMBER($A231),$A231+ROW()/100000,"")</f>
        <v/>
      </c>
      <c r="K231" s="12">
        <f>IF(AND(ISNUMBER($J231),$B231&lt;&gt;"",$B231='顧客カルテ'!$C$3),$J231,"")</f>
        <v/>
      </c>
    </row>
    <row r="232" ht="30" customHeight="1">
      <c r="A232" s="13" t="n"/>
      <c r="B232" s="7" t="n"/>
      <c r="C232" s="11">
        <f>IF($B232="","",IFERROR(INDEX('顧客一覧'!$C$5:$C$104,MATCH($B232,'顧客一覧'!$A$5:$A$104,0))&amp;"","※顧客一覧にないID"))</f>
        <v/>
      </c>
      <c r="D232" s="7" t="n"/>
      <c r="E232" s="7" t="n"/>
      <c r="F232" s="14" t="n"/>
      <c r="G232" s="14" t="n"/>
      <c r="H232" s="13" t="n"/>
      <c r="I232" s="31" t="n"/>
      <c r="J232" s="12">
        <f>IF(ISNUMBER($A232),$A232+ROW()/100000,"")</f>
        <v/>
      </c>
      <c r="K232" s="12">
        <f>IF(AND(ISNUMBER($J232),$B232&lt;&gt;"",$B232='顧客カルテ'!$C$3),$J232,"")</f>
        <v/>
      </c>
    </row>
    <row r="233" ht="30" customHeight="1">
      <c r="A233" s="13" t="n"/>
      <c r="B233" s="7" t="n"/>
      <c r="C233" s="11">
        <f>IF($B233="","",IFERROR(INDEX('顧客一覧'!$C$5:$C$104,MATCH($B233,'顧客一覧'!$A$5:$A$104,0))&amp;"","※顧客一覧にないID"))</f>
        <v/>
      </c>
      <c r="D233" s="7" t="n"/>
      <c r="E233" s="7" t="n"/>
      <c r="F233" s="14" t="n"/>
      <c r="G233" s="14" t="n"/>
      <c r="H233" s="13" t="n"/>
      <c r="I233" s="31" t="n"/>
      <c r="J233" s="12">
        <f>IF(ISNUMBER($A233),$A233+ROW()/100000,"")</f>
        <v/>
      </c>
      <c r="K233" s="12">
        <f>IF(AND(ISNUMBER($J233),$B233&lt;&gt;"",$B233='顧客カルテ'!$C$3),$J233,"")</f>
        <v/>
      </c>
    </row>
    <row r="234" ht="30" customHeight="1">
      <c r="A234" s="13" t="n"/>
      <c r="B234" s="7" t="n"/>
      <c r="C234" s="11">
        <f>IF($B234="","",IFERROR(INDEX('顧客一覧'!$C$5:$C$104,MATCH($B234,'顧客一覧'!$A$5:$A$104,0))&amp;"","※顧客一覧にないID"))</f>
        <v/>
      </c>
      <c r="D234" s="7" t="n"/>
      <c r="E234" s="7" t="n"/>
      <c r="F234" s="14" t="n"/>
      <c r="G234" s="14" t="n"/>
      <c r="H234" s="13" t="n"/>
      <c r="I234" s="31" t="n"/>
      <c r="J234" s="12">
        <f>IF(ISNUMBER($A234),$A234+ROW()/100000,"")</f>
        <v/>
      </c>
      <c r="K234" s="12">
        <f>IF(AND(ISNUMBER($J234),$B234&lt;&gt;"",$B234='顧客カルテ'!$C$3),$J234,"")</f>
        <v/>
      </c>
    </row>
    <row r="235" ht="30" customHeight="1">
      <c r="A235" s="13" t="n"/>
      <c r="B235" s="7" t="n"/>
      <c r="C235" s="11">
        <f>IF($B235="","",IFERROR(INDEX('顧客一覧'!$C$5:$C$104,MATCH($B235,'顧客一覧'!$A$5:$A$104,0))&amp;"","※顧客一覧にないID"))</f>
        <v/>
      </c>
      <c r="D235" s="7" t="n"/>
      <c r="E235" s="7" t="n"/>
      <c r="F235" s="14" t="n"/>
      <c r="G235" s="14" t="n"/>
      <c r="H235" s="13" t="n"/>
      <c r="I235" s="31" t="n"/>
      <c r="J235" s="12">
        <f>IF(ISNUMBER($A235),$A235+ROW()/100000,"")</f>
        <v/>
      </c>
      <c r="K235" s="12">
        <f>IF(AND(ISNUMBER($J235),$B235&lt;&gt;"",$B235='顧客カルテ'!$C$3),$J235,"")</f>
        <v/>
      </c>
    </row>
    <row r="236" ht="30" customHeight="1">
      <c r="A236" s="13" t="n"/>
      <c r="B236" s="7" t="n"/>
      <c r="C236" s="11">
        <f>IF($B236="","",IFERROR(INDEX('顧客一覧'!$C$5:$C$104,MATCH($B236,'顧客一覧'!$A$5:$A$104,0))&amp;"","※顧客一覧にないID"))</f>
        <v/>
      </c>
      <c r="D236" s="7" t="n"/>
      <c r="E236" s="7" t="n"/>
      <c r="F236" s="14" t="n"/>
      <c r="G236" s="14" t="n"/>
      <c r="H236" s="13" t="n"/>
      <c r="I236" s="31" t="n"/>
      <c r="J236" s="12">
        <f>IF(ISNUMBER($A236),$A236+ROW()/100000,"")</f>
        <v/>
      </c>
      <c r="K236" s="12">
        <f>IF(AND(ISNUMBER($J236),$B236&lt;&gt;"",$B236='顧客カルテ'!$C$3),$J236,"")</f>
        <v/>
      </c>
    </row>
    <row r="237" ht="30" customHeight="1">
      <c r="A237" s="13" t="n"/>
      <c r="B237" s="7" t="n"/>
      <c r="C237" s="11">
        <f>IF($B237="","",IFERROR(INDEX('顧客一覧'!$C$5:$C$104,MATCH($B237,'顧客一覧'!$A$5:$A$104,0))&amp;"","※顧客一覧にないID"))</f>
        <v/>
      </c>
      <c r="D237" s="7" t="n"/>
      <c r="E237" s="7" t="n"/>
      <c r="F237" s="14" t="n"/>
      <c r="G237" s="14" t="n"/>
      <c r="H237" s="13" t="n"/>
      <c r="I237" s="31" t="n"/>
      <c r="J237" s="12">
        <f>IF(ISNUMBER($A237),$A237+ROW()/100000,"")</f>
        <v/>
      </c>
      <c r="K237" s="12">
        <f>IF(AND(ISNUMBER($J237),$B237&lt;&gt;"",$B237='顧客カルテ'!$C$3),$J237,"")</f>
        <v/>
      </c>
    </row>
    <row r="238" ht="30" customHeight="1">
      <c r="A238" s="13" t="n"/>
      <c r="B238" s="7" t="n"/>
      <c r="C238" s="11">
        <f>IF($B238="","",IFERROR(INDEX('顧客一覧'!$C$5:$C$104,MATCH($B238,'顧客一覧'!$A$5:$A$104,0))&amp;"","※顧客一覧にないID"))</f>
        <v/>
      </c>
      <c r="D238" s="7" t="n"/>
      <c r="E238" s="7" t="n"/>
      <c r="F238" s="14" t="n"/>
      <c r="G238" s="14" t="n"/>
      <c r="H238" s="13" t="n"/>
      <c r="I238" s="31" t="n"/>
      <c r="J238" s="12">
        <f>IF(ISNUMBER($A238),$A238+ROW()/100000,"")</f>
        <v/>
      </c>
      <c r="K238" s="12">
        <f>IF(AND(ISNUMBER($J238),$B238&lt;&gt;"",$B238='顧客カルテ'!$C$3),$J238,"")</f>
        <v/>
      </c>
    </row>
    <row r="239" ht="30" customHeight="1">
      <c r="A239" s="13" t="n"/>
      <c r="B239" s="7" t="n"/>
      <c r="C239" s="11">
        <f>IF($B239="","",IFERROR(INDEX('顧客一覧'!$C$5:$C$104,MATCH($B239,'顧客一覧'!$A$5:$A$104,0))&amp;"","※顧客一覧にないID"))</f>
        <v/>
      </c>
      <c r="D239" s="7" t="n"/>
      <c r="E239" s="7" t="n"/>
      <c r="F239" s="14" t="n"/>
      <c r="G239" s="14" t="n"/>
      <c r="H239" s="13" t="n"/>
      <c r="I239" s="31" t="n"/>
      <c r="J239" s="12">
        <f>IF(ISNUMBER($A239),$A239+ROW()/100000,"")</f>
        <v/>
      </c>
      <c r="K239" s="12">
        <f>IF(AND(ISNUMBER($J239),$B239&lt;&gt;"",$B239='顧客カルテ'!$C$3),$J239,"")</f>
        <v/>
      </c>
    </row>
    <row r="240" ht="30" customHeight="1">
      <c r="A240" s="13" t="n"/>
      <c r="B240" s="7" t="n"/>
      <c r="C240" s="11">
        <f>IF($B240="","",IFERROR(INDEX('顧客一覧'!$C$5:$C$104,MATCH($B240,'顧客一覧'!$A$5:$A$104,0))&amp;"","※顧客一覧にないID"))</f>
        <v/>
      </c>
      <c r="D240" s="7" t="n"/>
      <c r="E240" s="7" t="n"/>
      <c r="F240" s="14" t="n"/>
      <c r="G240" s="14" t="n"/>
      <c r="H240" s="13" t="n"/>
      <c r="I240" s="31" t="n"/>
      <c r="J240" s="12">
        <f>IF(ISNUMBER($A240),$A240+ROW()/100000,"")</f>
        <v/>
      </c>
      <c r="K240" s="12">
        <f>IF(AND(ISNUMBER($J240),$B240&lt;&gt;"",$B240='顧客カルテ'!$C$3),$J240,"")</f>
        <v/>
      </c>
    </row>
    <row r="241" ht="30" customHeight="1">
      <c r="A241" s="13" t="n"/>
      <c r="B241" s="7" t="n"/>
      <c r="C241" s="11">
        <f>IF($B241="","",IFERROR(INDEX('顧客一覧'!$C$5:$C$104,MATCH($B241,'顧客一覧'!$A$5:$A$104,0))&amp;"","※顧客一覧にないID"))</f>
        <v/>
      </c>
      <c r="D241" s="7" t="n"/>
      <c r="E241" s="7" t="n"/>
      <c r="F241" s="14" t="n"/>
      <c r="G241" s="14" t="n"/>
      <c r="H241" s="13" t="n"/>
      <c r="I241" s="31" t="n"/>
      <c r="J241" s="12">
        <f>IF(ISNUMBER($A241),$A241+ROW()/100000,"")</f>
        <v/>
      </c>
      <c r="K241" s="12">
        <f>IF(AND(ISNUMBER($J241),$B241&lt;&gt;"",$B241='顧客カルテ'!$C$3),$J241,"")</f>
        <v/>
      </c>
    </row>
    <row r="242" ht="30" customHeight="1">
      <c r="A242" s="13" t="n"/>
      <c r="B242" s="7" t="n"/>
      <c r="C242" s="11">
        <f>IF($B242="","",IFERROR(INDEX('顧客一覧'!$C$5:$C$104,MATCH($B242,'顧客一覧'!$A$5:$A$104,0))&amp;"","※顧客一覧にないID"))</f>
        <v/>
      </c>
      <c r="D242" s="7" t="n"/>
      <c r="E242" s="7" t="n"/>
      <c r="F242" s="14" t="n"/>
      <c r="G242" s="14" t="n"/>
      <c r="H242" s="13" t="n"/>
      <c r="I242" s="31" t="n"/>
      <c r="J242" s="12">
        <f>IF(ISNUMBER($A242),$A242+ROW()/100000,"")</f>
        <v/>
      </c>
      <c r="K242" s="12">
        <f>IF(AND(ISNUMBER($J242),$B242&lt;&gt;"",$B242='顧客カルテ'!$C$3),$J242,"")</f>
        <v/>
      </c>
    </row>
    <row r="243" ht="30" customHeight="1">
      <c r="A243" s="13" t="n"/>
      <c r="B243" s="7" t="n"/>
      <c r="C243" s="11">
        <f>IF($B243="","",IFERROR(INDEX('顧客一覧'!$C$5:$C$104,MATCH($B243,'顧客一覧'!$A$5:$A$104,0))&amp;"","※顧客一覧にないID"))</f>
        <v/>
      </c>
      <c r="D243" s="7" t="n"/>
      <c r="E243" s="7" t="n"/>
      <c r="F243" s="14" t="n"/>
      <c r="G243" s="14" t="n"/>
      <c r="H243" s="13" t="n"/>
      <c r="I243" s="31" t="n"/>
      <c r="J243" s="12">
        <f>IF(ISNUMBER($A243),$A243+ROW()/100000,"")</f>
        <v/>
      </c>
      <c r="K243" s="12">
        <f>IF(AND(ISNUMBER($J243),$B243&lt;&gt;"",$B243='顧客カルテ'!$C$3),$J243,"")</f>
        <v/>
      </c>
    </row>
    <row r="244" ht="30" customHeight="1">
      <c r="A244" s="13" t="n"/>
      <c r="B244" s="7" t="n"/>
      <c r="C244" s="11">
        <f>IF($B244="","",IFERROR(INDEX('顧客一覧'!$C$5:$C$104,MATCH($B244,'顧客一覧'!$A$5:$A$104,0))&amp;"","※顧客一覧にないID"))</f>
        <v/>
      </c>
      <c r="D244" s="7" t="n"/>
      <c r="E244" s="7" t="n"/>
      <c r="F244" s="14" t="n"/>
      <c r="G244" s="14" t="n"/>
      <c r="H244" s="13" t="n"/>
      <c r="I244" s="31" t="n"/>
      <c r="J244" s="12">
        <f>IF(ISNUMBER($A244),$A244+ROW()/100000,"")</f>
        <v/>
      </c>
      <c r="K244" s="12">
        <f>IF(AND(ISNUMBER($J244),$B244&lt;&gt;"",$B244='顧客カルテ'!$C$3),$J244,"")</f>
        <v/>
      </c>
    </row>
    <row r="245" ht="30" customHeight="1">
      <c r="A245" s="13" t="n"/>
      <c r="B245" s="7" t="n"/>
      <c r="C245" s="11">
        <f>IF($B245="","",IFERROR(INDEX('顧客一覧'!$C$5:$C$104,MATCH($B245,'顧客一覧'!$A$5:$A$104,0))&amp;"","※顧客一覧にないID"))</f>
        <v/>
      </c>
      <c r="D245" s="7" t="n"/>
      <c r="E245" s="7" t="n"/>
      <c r="F245" s="14" t="n"/>
      <c r="G245" s="14" t="n"/>
      <c r="H245" s="13" t="n"/>
      <c r="I245" s="31" t="n"/>
      <c r="J245" s="12">
        <f>IF(ISNUMBER($A245),$A245+ROW()/100000,"")</f>
        <v/>
      </c>
      <c r="K245" s="12">
        <f>IF(AND(ISNUMBER($J245),$B245&lt;&gt;"",$B245='顧客カルテ'!$C$3),$J245,"")</f>
        <v/>
      </c>
    </row>
    <row r="246" ht="30" customHeight="1">
      <c r="A246" s="13" t="n"/>
      <c r="B246" s="7" t="n"/>
      <c r="C246" s="11">
        <f>IF($B246="","",IFERROR(INDEX('顧客一覧'!$C$5:$C$104,MATCH($B246,'顧客一覧'!$A$5:$A$104,0))&amp;"","※顧客一覧にないID"))</f>
        <v/>
      </c>
      <c r="D246" s="7" t="n"/>
      <c r="E246" s="7" t="n"/>
      <c r="F246" s="14" t="n"/>
      <c r="G246" s="14" t="n"/>
      <c r="H246" s="13" t="n"/>
      <c r="I246" s="31" t="n"/>
      <c r="J246" s="12">
        <f>IF(ISNUMBER($A246),$A246+ROW()/100000,"")</f>
        <v/>
      </c>
      <c r="K246" s="12">
        <f>IF(AND(ISNUMBER($J246),$B246&lt;&gt;"",$B246='顧客カルテ'!$C$3),$J246,"")</f>
        <v/>
      </c>
    </row>
    <row r="247" ht="30" customHeight="1">
      <c r="A247" s="13" t="n"/>
      <c r="B247" s="7" t="n"/>
      <c r="C247" s="11">
        <f>IF($B247="","",IFERROR(INDEX('顧客一覧'!$C$5:$C$104,MATCH($B247,'顧客一覧'!$A$5:$A$104,0))&amp;"","※顧客一覧にないID"))</f>
        <v/>
      </c>
      <c r="D247" s="7" t="n"/>
      <c r="E247" s="7" t="n"/>
      <c r="F247" s="14" t="n"/>
      <c r="G247" s="14" t="n"/>
      <c r="H247" s="13" t="n"/>
      <c r="I247" s="31" t="n"/>
      <c r="J247" s="12">
        <f>IF(ISNUMBER($A247),$A247+ROW()/100000,"")</f>
        <v/>
      </c>
      <c r="K247" s="12">
        <f>IF(AND(ISNUMBER($J247),$B247&lt;&gt;"",$B247='顧客カルテ'!$C$3),$J247,"")</f>
        <v/>
      </c>
    </row>
    <row r="248" ht="30" customHeight="1">
      <c r="A248" s="13" t="n"/>
      <c r="B248" s="7" t="n"/>
      <c r="C248" s="11">
        <f>IF($B248="","",IFERROR(INDEX('顧客一覧'!$C$5:$C$104,MATCH($B248,'顧客一覧'!$A$5:$A$104,0))&amp;"","※顧客一覧にないID"))</f>
        <v/>
      </c>
      <c r="D248" s="7" t="n"/>
      <c r="E248" s="7" t="n"/>
      <c r="F248" s="14" t="n"/>
      <c r="G248" s="14" t="n"/>
      <c r="H248" s="13" t="n"/>
      <c r="I248" s="31" t="n"/>
      <c r="J248" s="12">
        <f>IF(ISNUMBER($A248),$A248+ROW()/100000,"")</f>
        <v/>
      </c>
      <c r="K248" s="12">
        <f>IF(AND(ISNUMBER($J248),$B248&lt;&gt;"",$B248='顧客カルテ'!$C$3),$J248,"")</f>
        <v/>
      </c>
    </row>
    <row r="249" ht="30" customHeight="1">
      <c r="A249" s="13" t="n"/>
      <c r="B249" s="7" t="n"/>
      <c r="C249" s="11">
        <f>IF($B249="","",IFERROR(INDEX('顧客一覧'!$C$5:$C$104,MATCH($B249,'顧客一覧'!$A$5:$A$104,0))&amp;"","※顧客一覧にないID"))</f>
        <v/>
      </c>
      <c r="D249" s="7" t="n"/>
      <c r="E249" s="7" t="n"/>
      <c r="F249" s="14" t="n"/>
      <c r="G249" s="14" t="n"/>
      <c r="H249" s="13" t="n"/>
      <c r="I249" s="31" t="n"/>
      <c r="J249" s="12">
        <f>IF(ISNUMBER($A249),$A249+ROW()/100000,"")</f>
        <v/>
      </c>
      <c r="K249" s="12">
        <f>IF(AND(ISNUMBER($J249),$B249&lt;&gt;"",$B249='顧客カルテ'!$C$3),$J249,"")</f>
        <v/>
      </c>
    </row>
    <row r="250" ht="30" customHeight="1">
      <c r="A250" s="13" t="n"/>
      <c r="B250" s="7" t="n"/>
      <c r="C250" s="11">
        <f>IF($B250="","",IFERROR(INDEX('顧客一覧'!$C$5:$C$104,MATCH($B250,'顧客一覧'!$A$5:$A$104,0))&amp;"","※顧客一覧にないID"))</f>
        <v/>
      </c>
      <c r="D250" s="7" t="n"/>
      <c r="E250" s="7" t="n"/>
      <c r="F250" s="14" t="n"/>
      <c r="G250" s="14" t="n"/>
      <c r="H250" s="13" t="n"/>
      <c r="I250" s="31" t="n"/>
      <c r="J250" s="12">
        <f>IF(ISNUMBER($A250),$A250+ROW()/100000,"")</f>
        <v/>
      </c>
      <c r="K250" s="12">
        <f>IF(AND(ISNUMBER($J250),$B250&lt;&gt;"",$B250='顧客カルテ'!$C$3),$J250,"")</f>
        <v/>
      </c>
    </row>
    <row r="251" ht="30" customHeight="1">
      <c r="A251" s="13" t="n"/>
      <c r="B251" s="7" t="n"/>
      <c r="C251" s="11">
        <f>IF($B251="","",IFERROR(INDEX('顧客一覧'!$C$5:$C$104,MATCH($B251,'顧客一覧'!$A$5:$A$104,0))&amp;"","※顧客一覧にないID"))</f>
        <v/>
      </c>
      <c r="D251" s="7" t="n"/>
      <c r="E251" s="7" t="n"/>
      <c r="F251" s="14" t="n"/>
      <c r="G251" s="14" t="n"/>
      <c r="H251" s="13" t="n"/>
      <c r="I251" s="31" t="n"/>
      <c r="J251" s="12">
        <f>IF(ISNUMBER($A251),$A251+ROW()/100000,"")</f>
        <v/>
      </c>
      <c r="K251" s="12">
        <f>IF(AND(ISNUMBER($J251),$B251&lt;&gt;"",$B251='顧客カルテ'!$C$3),$J251,"")</f>
        <v/>
      </c>
    </row>
    <row r="252" ht="30" customHeight="1">
      <c r="A252" s="13" t="n"/>
      <c r="B252" s="7" t="n"/>
      <c r="C252" s="11">
        <f>IF($B252="","",IFERROR(INDEX('顧客一覧'!$C$5:$C$104,MATCH($B252,'顧客一覧'!$A$5:$A$104,0))&amp;"","※顧客一覧にないID"))</f>
        <v/>
      </c>
      <c r="D252" s="7" t="n"/>
      <c r="E252" s="7" t="n"/>
      <c r="F252" s="14" t="n"/>
      <c r="G252" s="14" t="n"/>
      <c r="H252" s="13" t="n"/>
      <c r="I252" s="31" t="n"/>
      <c r="J252" s="12">
        <f>IF(ISNUMBER($A252),$A252+ROW()/100000,"")</f>
        <v/>
      </c>
      <c r="K252" s="12">
        <f>IF(AND(ISNUMBER($J252),$B252&lt;&gt;"",$B252='顧客カルテ'!$C$3),$J252,"")</f>
        <v/>
      </c>
    </row>
    <row r="253" ht="30" customHeight="1">
      <c r="A253" s="13" t="n"/>
      <c r="B253" s="7" t="n"/>
      <c r="C253" s="11">
        <f>IF($B253="","",IFERROR(INDEX('顧客一覧'!$C$5:$C$104,MATCH($B253,'顧客一覧'!$A$5:$A$104,0))&amp;"","※顧客一覧にないID"))</f>
        <v/>
      </c>
      <c r="D253" s="7" t="n"/>
      <c r="E253" s="7" t="n"/>
      <c r="F253" s="14" t="n"/>
      <c r="G253" s="14" t="n"/>
      <c r="H253" s="13" t="n"/>
      <c r="I253" s="31" t="n"/>
      <c r="J253" s="12">
        <f>IF(ISNUMBER($A253),$A253+ROW()/100000,"")</f>
        <v/>
      </c>
      <c r="K253" s="12">
        <f>IF(AND(ISNUMBER($J253),$B253&lt;&gt;"",$B253='顧客カルテ'!$C$3),$J253,"")</f>
        <v/>
      </c>
    </row>
    <row r="254" ht="30" customHeight="1">
      <c r="A254" s="13" t="n"/>
      <c r="B254" s="7" t="n"/>
      <c r="C254" s="11">
        <f>IF($B254="","",IFERROR(INDEX('顧客一覧'!$C$5:$C$104,MATCH($B254,'顧客一覧'!$A$5:$A$104,0))&amp;"","※顧客一覧にないID"))</f>
        <v/>
      </c>
      <c r="D254" s="7" t="n"/>
      <c r="E254" s="7" t="n"/>
      <c r="F254" s="14" t="n"/>
      <c r="G254" s="14" t="n"/>
      <c r="H254" s="13" t="n"/>
      <c r="I254" s="31" t="n"/>
      <c r="J254" s="12">
        <f>IF(ISNUMBER($A254),$A254+ROW()/100000,"")</f>
        <v/>
      </c>
      <c r="K254" s="12">
        <f>IF(AND(ISNUMBER($J254),$B254&lt;&gt;"",$B254='顧客カルテ'!$C$3),$J254,"")</f>
        <v/>
      </c>
    </row>
    <row r="255" ht="30" customHeight="1">
      <c r="A255" s="13" t="n"/>
      <c r="B255" s="7" t="n"/>
      <c r="C255" s="11">
        <f>IF($B255="","",IFERROR(INDEX('顧客一覧'!$C$5:$C$104,MATCH($B255,'顧客一覧'!$A$5:$A$104,0))&amp;"","※顧客一覧にないID"))</f>
        <v/>
      </c>
      <c r="D255" s="7" t="n"/>
      <c r="E255" s="7" t="n"/>
      <c r="F255" s="14" t="n"/>
      <c r="G255" s="14" t="n"/>
      <c r="H255" s="13" t="n"/>
      <c r="I255" s="31" t="n"/>
      <c r="J255" s="12">
        <f>IF(ISNUMBER($A255),$A255+ROW()/100000,"")</f>
        <v/>
      </c>
      <c r="K255" s="12">
        <f>IF(AND(ISNUMBER($J255),$B255&lt;&gt;"",$B255='顧客カルテ'!$C$3),$J255,"")</f>
        <v/>
      </c>
    </row>
    <row r="256" ht="30" customHeight="1">
      <c r="A256" s="13" t="n"/>
      <c r="B256" s="7" t="n"/>
      <c r="C256" s="11">
        <f>IF($B256="","",IFERROR(INDEX('顧客一覧'!$C$5:$C$104,MATCH($B256,'顧客一覧'!$A$5:$A$104,0))&amp;"","※顧客一覧にないID"))</f>
        <v/>
      </c>
      <c r="D256" s="7" t="n"/>
      <c r="E256" s="7" t="n"/>
      <c r="F256" s="14" t="n"/>
      <c r="G256" s="14" t="n"/>
      <c r="H256" s="13" t="n"/>
      <c r="I256" s="31" t="n"/>
      <c r="J256" s="12">
        <f>IF(ISNUMBER($A256),$A256+ROW()/100000,"")</f>
        <v/>
      </c>
      <c r="K256" s="12">
        <f>IF(AND(ISNUMBER($J256),$B256&lt;&gt;"",$B256='顧客カルテ'!$C$3),$J256,"")</f>
        <v/>
      </c>
    </row>
    <row r="257" ht="30" customHeight="1">
      <c r="A257" s="13" t="n"/>
      <c r="B257" s="7" t="n"/>
      <c r="C257" s="11">
        <f>IF($B257="","",IFERROR(INDEX('顧客一覧'!$C$5:$C$104,MATCH($B257,'顧客一覧'!$A$5:$A$104,0))&amp;"","※顧客一覧にないID"))</f>
        <v/>
      </c>
      <c r="D257" s="7" t="n"/>
      <c r="E257" s="7" t="n"/>
      <c r="F257" s="14" t="n"/>
      <c r="G257" s="14" t="n"/>
      <c r="H257" s="13" t="n"/>
      <c r="I257" s="31" t="n"/>
      <c r="J257" s="12">
        <f>IF(ISNUMBER($A257),$A257+ROW()/100000,"")</f>
        <v/>
      </c>
      <c r="K257" s="12">
        <f>IF(AND(ISNUMBER($J257),$B257&lt;&gt;"",$B257='顧客カルテ'!$C$3),$J257,"")</f>
        <v/>
      </c>
    </row>
    <row r="258" ht="30" customHeight="1">
      <c r="A258" s="13" t="n"/>
      <c r="B258" s="7" t="n"/>
      <c r="C258" s="11">
        <f>IF($B258="","",IFERROR(INDEX('顧客一覧'!$C$5:$C$104,MATCH($B258,'顧客一覧'!$A$5:$A$104,0))&amp;"","※顧客一覧にないID"))</f>
        <v/>
      </c>
      <c r="D258" s="7" t="n"/>
      <c r="E258" s="7" t="n"/>
      <c r="F258" s="14" t="n"/>
      <c r="G258" s="14" t="n"/>
      <c r="H258" s="13" t="n"/>
      <c r="I258" s="31" t="n"/>
      <c r="J258" s="12">
        <f>IF(ISNUMBER($A258),$A258+ROW()/100000,"")</f>
        <v/>
      </c>
      <c r="K258" s="12">
        <f>IF(AND(ISNUMBER($J258),$B258&lt;&gt;"",$B258='顧客カルテ'!$C$3),$J258,"")</f>
        <v/>
      </c>
    </row>
    <row r="259" ht="30" customHeight="1">
      <c r="A259" s="13" t="n"/>
      <c r="B259" s="7" t="n"/>
      <c r="C259" s="11">
        <f>IF($B259="","",IFERROR(INDEX('顧客一覧'!$C$5:$C$104,MATCH($B259,'顧客一覧'!$A$5:$A$104,0))&amp;"","※顧客一覧にないID"))</f>
        <v/>
      </c>
      <c r="D259" s="7" t="n"/>
      <c r="E259" s="7" t="n"/>
      <c r="F259" s="14" t="n"/>
      <c r="G259" s="14" t="n"/>
      <c r="H259" s="13" t="n"/>
      <c r="I259" s="31" t="n"/>
      <c r="J259" s="12">
        <f>IF(ISNUMBER($A259),$A259+ROW()/100000,"")</f>
        <v/>
      </c>
      <c r="K259" s="12">
        <f>IF(AND(ISNUMBER($J259),$B259&lt;&gt;"",$B259='顧客カルテ'!$C$3),$J259,"")</f>
        <v/>
      </c>
    </row>
    <row r="260" ht="30" customHeight="1">
      <c r="A260" s="13" t="n"/>
      <c r="B260" s="7" t="n"/>
      <c r="C260" s="11">
        <f>IF($B260="","",IFERROR(INDEX('顧客一覧'!$C$5:$C$104,MATCH($B260,'顧客一覧'!$A$5:$A$104,0))&amp;"","※顧客一覧にないID"))</f>
        <v/>
      </c>
      <c r="D260" s="7" t="n"/>
      <c r="E260" s="7" t="n"/>
      <c r="F260" s="14" t="n"/>
      <c r="G260" s="14" t="n"/>
      <c r="H260" s="13" t="n"/>
      <c r="I260" s="31" t="n"/>
      <c r="J260" s="12">
        <f>IF(ISNUMBER($A260),$A260+ROW()/100000,"")</f>
        <v/>
      </c>
      <c r="K260" s="12">
        <f>IF(AND(ISNUMBER($J260),$B260&lt;&gt;"",$B260='顧客カルテ'!$C$3),$J260,"")</f>
        <v/>
      </c>
    </row>
    <row r="261" ht="30" customHeight="1">
      <c r="A261" s="13" t="n"/>
      <c r="B261" s="7" t="n"/>
      <c r="C261" s="11">
        <f>IF($B261="","",IFERROR(INDEX('顧客一覧'!$C$5:$C$104,MATCH($B261,'顧客一覧'!$A$5:$A$104,0))&amp;"","※顧客一覧にないID"))</f>
        <v/>
      </c>
      <c r="D261" s="7" t="n"/>
      <c r="E261" s="7" t="n"/>
      <c r="F261" s="14" t="n"/>
      <c r="G261" s="14" t="n"/>
      <c r="H261" s="13" t="n"/>
      <c r="I261" s="31" t="n"/>
      <c r="J261" s="12">
        <f>IF(ISNUMBER($A261),$A261+ROW()/100000,"")</f>
        <v/>
      </c>
      <c r="K261" s="12">
        <f>IF(AND(ISNUMBER($J261),$B261&lt;&gt;"",$B261='顧客カルテ'!$C$3),$J261,"")</f>
        <v/>
      </c>
    </row>
    <row r="262" ht="30" customHeight="1">
      <c r="A262" s="13" t="n"/>
      <c r="B262" s="7" t="n"/>
      <c r="C262" s="11">
        <f>IF($B262="","",IFERROR(INDEX('顧客一覧'!$C$5:$C$104,MATCH($B262,'顧客一覧'!$A$5:$A$104,0))&amp;"","※顧客一覧にないID"))</f>
        <v/>
      </c>
      <c r="D262" s="7" t="n"/>
      <c r="E262" s="7" t="n"/>
      <c r="F262" s="14" t="n"/>
      <c r="G262" s="14" t="n"/>
      <c r="H262" s="13" t="n"/>
      <c r="I262" s="31" t="n"/>
      <c r="J262" s="12">
        <f>IF(ISNUMBER($A262),$A262+ROW()/100000,"")</f>
        <v/>
      </c>
      <c r="K262" s="12">
        <f>IF(AND(ISNUMBER($J262),$B262&lt;&gt;"",$B262='顧客カルテ'!$C$3),$J262,"")</f>
        <v/>
      </c>
    </row>
    <row r="263" ht="30" customHeight="1">
      <c r="A263" s="13" t="n"/>
      <c r="B263" s="7" t="n"/>
      <c r="C263" s="11">
        <f>IF($B263="","",IFERROR(INDEX('顧客一覧'!$C$5:$C$104,MATCH($B263,'顧客一覧'!$A$5:$A$104,0))&amp;"","※顧客一覧にないID"))</f>
        <v/>
      </c>
      <c r="D263" s="7" t="n"/>
      <c r="E263" s="7" t="n"/>
      <c r="F263" s="14" t="n"/>
      <c r="G263" s="14" t="n"/>
      <c r="H263" s="13" t="n"/>
      <c r="I263" s="31" t="n"/>
      <c r="J263" s="12">
        <f>IF(ISNUMBER($A263),$A263+ROW()/100000,"")</f>
        <v/>
      </c>
      <c r="K263" s="12">
        <f>IF(AND(ISNUMBER($J263),$B263&lt;&gt;"",$B263='顧客カルテ'!$C$3),$J263,"")</f>
        <v/>
      </c>
    </row>
    <row r="264" ht="30" customHeight="1">
      <c r="A264" s="13" t="n"/>
      <c r="B264" s="7" t="n"/>
      <c r="C264" s="11">
        <f>IF($B264="","",IFERROR(INDEX('顧客一覧'!$C$5:$C$104,MATCH($B264,'顧客一覧'!$A$5:$A$104,0))&amp;"","※顧客一覧にないID"))</f>
        <v/>
      </c>
      <c r="D264" s="7" t="n"/>
      <c r="E264" s="7" t="n"/>
      <c r="F264" s="14" t="n"/>
      <c r="G264" s="14" t="n"/>
      <c r="H264" s="13" t="n"/>
      <c r="I264" s="31" t="n"/>
      <c r="J264" s="12">
        <f>IF(ISNUMBER($A264),$A264+ROW()/100000,"")</f>
        <v/>
      </c>
      <c r="K264" s="12">
        <f>IF(AND(ISNUMBER($J264),$B264&lt;&gt;"",$B264='顧客カルテ'!$C$3),$J264,"")</f>
        <v/>
      </c>
    </row>
    <row r="265" ht="30" customHeight="1">
      <c r="A265" s="13" t="n"/>
      <c r="B265" s="7" t="n"/>
      <c r="C265" s="11">
        <f>IF($B265="","",IFERROR(INDEX('顧客一覧'!$C$5:$C$104,MATCH($B265,'顧客一覧'!$A$5:$A$104,0))&amp;"","※顧客一覧にないID"))</f>
        <v/>
      </c>
      <c r="D265" s="7" t="n"/>
      <c r="E265" s="7" t="n"/>
      <c r="F265" s="14" t="n"/>
      <c r="G265" s="14" t="n"/>
      <c r="H265" s="13" t="n"/>
      <c r="I265" s="31" t="n"/>
      <c r="J265" s="12">
        <f>IF(ISNUMBER($A265),$A265+ROW()/100000,"")</f>
        <v/>
      </c>
      <c r="K265" s="12">
        <f>IF(AND(ISNUMBER($J265),$B265&lt;&gt;"",$B265='顧客カルテ'!$C$3),$J265,"")</f>
        <v/>
      </c>
    </row>
    <row r="266" ht="30" customHeight="1">
      <c r="A266" s="13" t="n"/>
      <c r="B266" s="7" t="n"/>
      <c r="C266" s="11">
        <f>IF($B266="","",IFERROR(INDEX('顧客一覧'!$C$5:$C$104,MATCH($B266,'顧客一覧'!$A$5:$A$104,0))&amp;"","※顧客一覧にないID"))</f>
        <v/>
      </c>
      <c r="D266" s="7" t="n"/>
      <c r="E266" s="7" t="n"/>
      <c r="F266" s="14" t="n"/>
      <c r="G266" s="14" t="n"/>
      <c r="H266" s="13" t="n"/>
      <c r="I266" s="31" t="n"/>
      <c r="J266" s="12">
        <f>IF(ISNUMBER($A266),$A266+ROW()/100000,"")</f>
        <v/>
      </c>
      <c r="K266" s="12">
        <f>IF(AND(ISNUMBER($J266),$B266&lt;&gt;"",$B266='顧客カルテ'!$C$3),$J266,"")</f>
        <v/>
      </c>
    </row>
    <row r="267" ht="30" customHeight="1">
      <c r="A267" s="13" t="n"/>
      <c r="B267" s="7" t="n"/>
      <c r="C267" s="11">
        <f>IF($B267="","",IFERROR(INDEX('顧客一覧'!$C$5:$C$104,MATCH($B267,'顧客一覧'!$A$5:$A$104,0))&amp;"","※顧客一覧にないID"))</f>
        <v/>
      </c>
      <c r="D267" s="7" t="n"/>
      <c r="E267" s="7" t="n"/>
      <c r="F267" s="14" t="n"/>
      <c r="G267" s="14" t="n"/>
      <c r="H267" s="13" t="n"/>
      <c r="I267" s="31" t="n"/>
      <c r="J267" s="12">
        <f>IF(ISNUMBER($A267),$A267+ROW()/100000,"")</f>
        <v/>
      </c>
      <c r="K267" s="12">
        <f>IF(AND(ISNUMBER($J267),$B267&lt;&gt;"",$B267='顧客カルテ'!$C$3),$J267,"")</f>
        <v/>
      </c>
    </row>
    <row r="268" ht="30" customHeight="1">
      <c r="A268" s="13" t="n"/>
      <c r="B268" s="7" t="n"/>
      <c r="C268" s="11">
        <f>IF($B268="","",IFERROR(INDEX('顧客一覧'!$C$5:$C$104,MATCH($B268,'顧客一覧'!$A$5:$A$104,0))&amp;"","※顧客一覧にないID"))</f>
        <v/>
      </c>
      <c r="D268" s="7" t="n"/>
      <c r="E268" s="7" t="n"/>
      <c r="F268" s="14" t="n"/>
      <c r="G268" s="14" t="n"/>
      <c r="H268" s="13" t="n"/>
      <c r="I268" s="31" t="n"/>
      <c r="J268" s="12">
        <f>IF(ISNUMBER($A268),$A268+ROW()/100000,"")</f>
        <v/>
      </c>
      <c r="K268" s="12">
        <f>IF(AND(ISNUMBER($J268),$B268&lt;&gt;"",$B268='顧客カルテ'!$C$3),$J268,"")</f>
        <v/>
      </c>
    </row>
    <row r="269" ht="30" customHeight="1">
      <c r="A269" s="13" t="n"/>
      <c r="B269" s="7" t="n"/>
      <c r="C269" s="11">
        <f>IF($B269="","",IFERROR(INDEX('顧客一覧'!$C$5:$C$104,MATCH($B269,'顧客一覧'!$A$5:$A$104,0))&amp;"","※顧客一覧にないID"))</f>
        <v/>
      </c>
      <c r="D269" s="7" t="n"/>
      <c r="E269" s="7" t="n"/>
      <c r="F269" s="14" t="n"/>
      <c r="G269" s="14" t="n"/>
      <c r="H269" s="13" t="n"/>
      <c r="I269" s="31" t="n"/>
      <c r="J269" s="12">
        <f>IF(ISNUMBER($A269),$A269+ROW()/100000,"")</f>
        <v/>
      </c>
      <c r="K269" s="12">
        <f>IF(AND(ISNUMBER($J269),$B269&lt;&gt;"",$B269='顧客カルテ'!$C$3),$J269,"")</f>
        <v/>
      </c>
    </row>
    <row r="270" ht="30" customHeight="1">
      <c r="A270" s="13" t="n"/>
      <c r="B270" s="7" t="n"/>
      <c r="C270" s="11">
        <f>IF($B270="","",IFERROR(INDEX('顧客一覧'!$C$5:$C$104,MATCH($B270,'顧客一覧'!$A$5:$A$104,0))&amp;"","※顧客一覧にないID"))</f>
        <v/>
      </c>
      <c r="D270" s="7" t="n"/>
      <c r="E270" s="7" t="n"/>
      <c r="F270" s="14" t="n"/>
      <c r="G270" s="14" t="n"/>
      <c r="H270" s="13" t="n"/>
      <c r="I270" s="31" t="n"/>
      <c r="J270" s="12">
        <f>IF(ISNUMBER($A270),$A270+ROW()/100000,"")</f>
        <v/>
      </c>
      <c r="K270" s="12">
        <f>IF(AND(ISNUMBER($J270),$B270&lt;&gt;"",$B270='顧客カルテ'!$C$3),$J270,"")</f>
        <v/>
      </c>
    </row>
    <row r="271" ht="30" customHeight="1">
      <c r="A271" s="13" t="n"/>
      <c r="B271" s="7" t="n"/>
      <c r="C271" s="11">
        <f>IF($B271="","",IFERROR(INDEX('顧客一覧'!$C$5:$C$104,MATCH($B271,'顧客一覧'!$A$5:$A$104,0))&amp;"","※顧客一覧にないID"))</f>
        <v/>
      </c>
      <c r="D271" s="7" t="n"/>
      <c r="E271" s="7" t="n"/>
      <c r="F271" s="14" t="n"/>
      <c r="G271" s="14" t="n"/>
      <c r="H271" s="13" t="n"/>
      <c r="I271" s="31" t="n"/>
      <c r="J271" s="12">
        <f>IF(ISNUMBER($A271),$A271+ROW()/100000,"")</f>
        <v/>
      </c>
      <c r="K271" s="12">
        <f>IF(AND(ISNUMBER($J271),$B271&lt;&gt;"",$B271='顧客カルテ'!$C$3),$J271,"")</f>
        <v/>
      </c>
    </row>
    <row r="272" ht="30" customHeight="1">
      <c r="A272" s="13" t="n"/>
      <c r="B272" s="7" t="n"/>
      <c r="C272" s="11">
        <f>IF($B272="","",IFERROR(INDEX('顧客一覧'!$C$5:$C$104,MATCH($B272,'顧客一覧'!$A$5:$A$104,0))&amp;"","※顧客一覧にないID"))</f>
        <v/>
      </c>
      <c r="D272" s="7" t="n"/>
      <c r="E272" s="7" t="n"/>
      <c r="F272" s="14" t="n"/>
      <c r="G272" s="14" t="n"/>
      <c r="H272" s="13" t="n"/>
      <c r="I272" s="31" t="n"/>
      <c r="J272" s="12">
        <f>IF(ISNUMBER($A272),$A272+ROW()/100000,"")</f>
        <v/>
      </c>
      <c r="K272" s="12">
        <f>IF(AND(ISNUMBER($J272),$B272&lt;&gt;"",$B272='顧客カルテ'!$C$3),$J272,"")</f>
        <v/>
      </c>
    </row>
    <row r="273" ht="30" customHeight="1">
      <c r="A273" s="13" t="n"/>
      <c r="B273" s="7" t="n"/>
      <c r="C273" s="11">
        <f>IF($B273="","",IFERROR(INDEX('顧客一覧'!$C$5:$C$104,MATCH($B273,'顧客一覧'!$A$5:$A$104,0))&amp;"","※顧客一覧にないID"))</f>
        <v/>
      </c>
      <c r="D273" s="7" t="n"/>
      <c r="E273" s="7" t="n"/>
      <c r="F273" s="14" t="n"/>
      <c r="G273" s="14" t="n"/>
      <c r="H273" s="13" t="n"/>
      <c r="I273" s="31" t="n"/>
      <c r="J273" s="12">
        <f>IF(ISNUMBER($A273),$A273+ROW()/100000,"")</f>
        <v/>
      </c>
      <c r="K273" s="12">
        <f>IF(AND(ISNUMBER($J273),$B273&lt;&gt;"",$B273='顧客カルテ'!$C$3),$J273,"")</f>
        <v/>
      </c>
    </row>
    <row r="274" ht="30" customHeight="1">
      <c r="A274" s="13" t="n"/>
      <c r="B274" s="7" t="n"/>
      <c r="C274" s="11">
        <f>IF($B274="","",IFERROR(INDEX('顧客一覧'!$C$5:$C$104,MATCH($B274,'顧客一覧'!$A$5:$A$104,0))&amp;"","※顧客一覧にないID"))</f>
        <v/>
      </c>
      <c r="D274" s="7" t="n"/>
      <c r="E274" s="7" t="n"/>
      <c r="F274" s="14" t="n"/>
      <c r="G274" s="14" t="n"/>
      <c r="H274" s="13" t="n"/>
      <c r="I274" s="31" t="n"/>
      <c r="J274" s="12">
        <f>IF(ISNUMBER($A274),$A274+ROW()/100000,"")</f>
        <v/>
      </c>
      <c r="K274" s="12">
        <f>IF(AND(ISNUMBER($J274),$B274&lt;&gt;"",$B274='顧客カルテ'!$C$3),$J274,"")</f>
        <v/>
      </c>
    </row>
    <row r="275" ht="30" customHeight="1">
      <c r="A275" s="13" t="n"/>
      <c r="B275" s="7" t="n"/>
      <c r="C275" s="11">
        <f>IF($B275="","",IFERROR(INDEX('顧客一覧'!$C$5:$C$104,MATCH($B275,'顧客一覧'!$A$5:$A$104,0))&amp;"","※顧客一覧にないID"))</f>
        <v/>
      </c>
      <c r="D275" s="7" t="n"/>
      <c r="E275" s="7" t="n"/>
      <c r="F275" s="14" t="n"/>
      <c r="G275" s="14" t="n"/>
      <c r="H275" s="13" t="n"/>
      <c r="I275" s="31" t="n"/>
      <c r="J275" s="12">
        <f>IF(ISNUMBER($A275),$A275+ROW()/100000,"")</f>
        <v/>
      </c>
      <c r="K275" s="12">
        <f>IF(AND(ISNUMBER($J275),$B275&lt;&gt;"",$B275='顧客カルテ'!$C$3),$J275,"")</f>
        <v/>
      </c>
    </row>
    <row r="276" ht="30" customHeight="1">
      <c r="A276" s="13" t="n"/>
      <c r="B276" s="7" t="n"/>
      <c r="C276" s="11">
        <f>IF($B276="","",IFERROR(INDEX('顧客一覧'!$C$5:$C$104,MATCH($B276,'顧客一覧'!$A$5:$A$104,0))&amp;"","※顧客一覧にないID"))</f>
        <v/>
      </c>
      <c r="D276" s="7" t="n"/>
      <c r="E276" s="7" t="n"/>
      <c r="F276" s="14" t="n"/>
      <c r="G276" s="14" t="n"/>
      <c r="H276" s="13" t="n"/>
      <c r="I276" s="31" t="n"/>
      <c r="J276" s="12">
        <f>IF(ISNUMBER($A276),$A276+ROW()/100000,"")</f>
        <v/>
      </c>
      <c r="K276" s="12">
        <f>IF(AND(ISNUMBER($J276),$B276&lt;&gt;"",$B276='顧客カルテ'!$C$3),$J276,"")</f>
        <v/>
      </c>
    </row>
    <row r="277" ht="30" customHeight="1">
      <c r="A277" s="13" t="n"/>
      <c r="B277" s="7" t="n"/>
      <c r="C277" s="11">
        <f>IF($B277="","",IFERROR(INDEX('顧客一覧'!$C$5:$C$104,MATCH($B277,'顧客一覧'!$A$5:$A$104,0))&amp;"","※顧客一覧にないID"))</f>
        <v/>
      </c>
      <c r="D277" s="7" t="n"/>
      <c r="E277" s="7" t="n"/>
      <c r="F277" s="14" t="n"/>
      <c r="G277" s="14" t="n"/>
      <c r="H277" s="13" t="n"/>
      <c r="I277" s="31" t="n"/>
      <c r="J277" s="12">
        <f>IF(ISNUMBER($A277),$A277+ROW()/100000,"")</f>
        <v/>
      </c>
      <c r="K277" s="12">
        <f>IF(AND(ISNUMBER($J277),$B277&lt;&gt;"",$B277='顧客カルテ'!$C$3),$J277,"")</f>
        <v/>
      </c>
    </row>
    <row r="278" ht="30" customHeight="1">
      <c r="A278" s="13" t="n"/>
      <c r="B278" s="7" t="n"/>
      <c r="C278" s="11">
        <f>IF($B278="","",IFERROR(INDEX('顧客一覧'!$C$5:$C$104,MATCH($B278,'顧客一覧'!$A$5:$A$104,0))&amp;"","※顧客一覧にないID"))</f>
        <v/>
      </c>
      <c r="D278" s="7" t="n"/>
      <c r="E278" s="7" t="n"/>
      <c r="F278" s="14" t="n"/>
      <c r="G278" s="14" t="n"/>
      <c r="H278" s="13" t="n"/>
      <c r="I278" s="31" t="n"/>
      <c r="J278" s="12">
        <f>IF(ISNUMBER($A278),$A278+ROW()/100000,"")</f>
        <v/>
      </c>
      <c r="K278" s="12">
        <f>IF(AND(ISNUMBER($J278),$B278&lt;&gt;"",$B278='顧客カルテ'!$C$3),$J278,"")</f>
        <v/>
      </c>
    </row>
    <row r="279" ht="30" customHeight="1">
      <c r="A279" s="13" t="n"/>
      <c r="B279" s="7" t="n"/>
      <c r="C279" s="11">
        <f>IF($B279="","",IFERROR(INDEX('顧客一覧'!$C$5:$C$104,MATCH($B279,'顧客一覧'!$A$5:$A$104,0))&amp;"","※顧客一覧にないID"))</f>
        <v/>
      </c>
      <c r="D279" s="7" t="n"/>
      <c r="E279" s="7" t="n"/>
      <c r="F279" s="14" t="n"/>
      <c r="G279" s="14" t="n"/>
      <c r="H279" s="13" t="n"/>
      <c r="I279" s="31" t="n"/>
      <c r="J279" s="12">
        <f>IF(ISNUMBER($A279),$A279+ROW()/100000,"")</f>
        <v/>
      </c>
      <c r="K279" s="12">
        <f>IF(AND(ISNUMBER($J279),$B279&lt;&gt;"",$B279='顧客カルテ'!$C$3),$J279,"")</f>
        <v/>
      </c>
    </row>
    <row r="280" ht="30" customHeight="1">
      <c r="A280" s="13" t="n"/>
      <c r="B280" s="7" t="n"/>
      <c r="C280" s="11">
        <f>IF($B280="","",IFERROR(INDEX('顧客一覧'!$C$5:$C$104,MATCH($B280,'顧客一覧'!$A$5:$A$104,0))&amp;"","※顧客一覧にないID"))</f>
        <v/>
      </c>
      <c r="D280" s="7" t="n"/>
      <c r="E280" s="7" t="n"/>
      <c r="F280" s="14" t="n"/>
      <c r="G280" s="14" t="n"/>
      <c r="H280" s="13" t="n"/>
      <c r="I280" s="31" t="n"/>
      <c r="J280" s="12">
        <f>IF(ISNUMBER($A280),$A280+ROW()/100000,"")</f>
        <v/>
      </c>
      <c r="K280" s="12">
        <f>IF(AND(ISNUMBER($J280),$B280&lt;&gt;"",$B280='顧客カルテ'!$C$3),$J280,"")</f>
        <v/>
      </c>
    </row>
    <row r="281" ht="30" customHeight="1">
      <c r="A281" s="13" t="n"/>
      <c r="B281" s="7" t="n"/>
      <c r="C281" s="11">
        <f>IF($B281="","",IFERROR(INDEX('顧客一覧'!$C$5:$C$104,MATCH($B281,'顧客一覧'!$A$5:$A$104,0))&amp;"","※顧客一覧にないID"))</f>
        <v/>
      </c>
      <c r="D281" s="7" t="n"/>
      <c r="E281" s="7" t="n"/>
      <c r="F281" s="14" t="n"/>
      <c r="G281" s="14" t="n"/>
      <c r="H281" s="13" t="n"/>
      <c r="I281" s="31" t="n"/>
      <c r="J281" s="12">
        <f>IF(ISNUMBER($A281),$A281+ROW()/100000,"")</f>
        <v/>
      </c>
      <c r="K281" s="12">
        <f>IF(AND(ISNUMBER($J281),$B281&lt;&gt;"",$B281='顧客カルテ'!$C$3),$J281,"")</f>
        <v/>
      </c>
    </row>
    <row r="282" ht="30" customHeight="1">
      <c r="A282" s="13" t="n"/>
      <c r="B282" s="7" t="n"/>
      <c r="C282" s="11">
        <f>IF($B282="","",IFERROR(INDEX('顧客一覧'!$C$5:$C$104,MATCH($B282,'顧客一覧'!$A$5:$A$104,0))&amp;"","※顧客一覧にないID"))</f>
        <v/>
      </c>
      <c r="D282" s="7" t="n"/>
      <c r="E282" s="7" t="n"/>
      <c r="F282" s="14" t="n"/>
      <c r="G282" s="14" t="n"/>
      <c r="H282" s="13" t="n"/>
      <c r="I282" s="31" t="n"/>
      <c r="J282" s="12">
        <f>IF(ISNUMBER($A282),$A282+ROW()/100000,"")</f>
        <v/>
      </c>
      <c r="K282" s="12">
        <f>IF(AND(ISNUMBER($J282),$B282&lt;&gt;"",$B282='顧客カルテ'!$C$3),$J282,"")</f>
        <v/>
      </c>
    </row>
    <row r="283" ht="30" customHeight="1">
      <c r="A283" s="13" t="n"/>
      <c r="B283" s="7" t="n"/>
      <c r="C283" s="11">
        <f>IF($B283="","",IFERROR(INDEX('顧客一覧'!$C$5:$C$104,MATCH($B283,'顧客一覧'!$A$5:$A$104,0))&amp;"","※顧客一覧にないID"))</f>
        <v/>
      </c>
      <c r="D283" s="7" t="n"/>
      <c r="E283" s="7" t="n"/>
      <c r="F283" s="14" t="n"/>
      <c r="G283" s="14" t="n"/>
      <c r="H283" s="13" t="n"/>
      <c r="I283" s="31" t="n"/>
      <c r="J283" s="12">
        <f>IF(ISNUMBER($A283),$A283+ROW()/100000,"")</f>
        <v/>
      </c>
      <c r="K283" s="12">
        <f>IF(AND(ISNUMBER($J283),$B283&lt;&gt;"",$B283='顧客カルテ'!$C$3),$J283,"")</f>
        <v/>
      </c>
    </row>
    <row r="284" ht="30" customHeight="1">
      <c r="A284" s="13" t="n"/>
      <c r="B284" s="7" t="n"/>
      <c r="C284" s="11">
        <f>IF($B284="","",IFERROR(INDEX('顧客一覧'!$C$5:$C$104,MATCH($B284,'顧客一覧'!$A$5:$A$104,0))&amp;"","※顧客一覧にないID"))</f>
        <v/>
      </c>
      <c r="D284" s="7" t="n"/>
      <c r="E284" s="7" t="n"/>
      <c r="F284" s="14" t="n"/>
      <c r="G284" s="14" t="n"/>
      <c r="H284" s="13" t="n"/>
      <c r="I284" s="31" t="n"/>
      <c r="J284" s="12">
        <f>IF(ISNUMBER($A284),$A284+ROW()/100000,"")</f>
        <v/>
      </c>
      <c r="K284" s="12">
        <f>IF(AND(ISNUMBER($J284),$B284&lt;&gt;"",$B284='顧客カルテ'!$C$3),$J284,"")</f>
        <v/>
      </c>
    </row>
    <row r="285" ht="30" customHeight="1">
      <c r="A285" s="13" t="n"/>
      <c r="B285" s="7" t="n"/>
      <c r="C285" s="11">
        <f>IF($B285="","",IFERROR(INDEX('顧客一覧'!$C$5:$C$104,MATCH($B285,'顧客一覧'!$A$5:$A$104,0))&amp;"","※顧客一覧にないID"))</f>
        <v/>
      </c>
      <c r="D285" s="7" t="n"/>
      <c r="E285" s="7" t="n"/>
      <c r="F285" s="14" t="n"/>
      <c r="G285" s="14" t="n"/>
      <c r="H285" s="13" t="n"/>
      <c r="I285" s="31" t="n"/>
      <c r="J285" s="12">
        <f>IF(ISNUMBER($A285),$A285+ROW()/100000,"")</f>
        <v/>
      </c>
      <c r="K285" s="12">
        <f>IF(AND(ISNUMBER($J285),$B285&lt;&gt;"",$B285='顧客カルテ'!$C$3),$J285,"")</f>
        <v/>
      </c>
    </row>
    <row r="286" ht="30" customHeight="1">
      <c r="A286" s="13" t="n"/>
      <c r="B286" s="7" t="n"/>
      <c r="C286" s="11">
        <f>IF($B286="","",IFERROR(INDEX('顧客一覧'!$C$5:$C$104,MATCH($B286,'顧客一覧'!$A$5:$A$104,0))&amp;"","※顧客一覧にないID"))</f>
        <v/>
      </c>
      <c r="D286" s="7" t="n"/>
      <c r="E286" s="7" t="n"/>
      <c r="F286" s="14" t="n"/>
      <c r="G286" s="14" t="n"/>
      <c r="H286" s="13" t="n"/>
      <c r="I286" s="31" t="n"/>
      <c r="J286" s="12">
        <f>IF(ISNUMBER($A286),$A286+ROW()/100000,"")</f>
        <v/>
      </c>
      <c r="K286" s="12">
        <f>IF(AND(ISNUMBER($J286),$B286&lt;&gt;"",$B286='顧客カルテ'!$C$3),$J286,"")</f>
        <v/>
      </c>
    </row>
    <row r="287" ht="30" customHeight="1">
      <c r="A287" s="13" t="n"/>
      <c r="B287" s="7" t="n"/>
      <c r="C287" s="11">
        <f>IF($B287="","",IFERROR(INDEX('顧客一覧'!$C$5:$C$104,MATCH($B287,'顧客一覧'!$A$5:$A$104,0))&amp;"","※顧客一覧にないID"))</f>
        <v/>
      </c>
      <c r="D287" s="7" t="n"/>
      <c r="E287" s="7" t="n"/>
      <c r="F287" s="14" t="n"/>
      <c r="G287" s="14" t="n"/>
      <c r="H287" s="13" t="n"/>
      <c r="I287" s="31" t="n"/>
      <c r="J287" s="12">
        <f>IF(ISNUMBER($A287),$A287+ROW()/100000,"")</f>
        <v/>
      </c>
      <c r="K287" s="12">
        <f>IF(AND(ISNUMBER($J287),$B287&lt;&gt;"",$B287='顧客カルテ'!$C$3),$J287,"")</f>
        <v/>
      </c>
    </row>
    <row r="288" ht="30" customHeight="1">
      <c r="A288" s="13" t="n"/>
      <c r="B288" s="7" t="n"/>
      <c r="C288" s="11">
        <f>IF($B288="","",IFERROR(INDEX('顧客一覧'!$C$5:$C$104,MATCH($B288,'顧客一覧'!$A$5:$A$104,0))&amp;"","※顧客一覧にないID"))</f>
        <v/>
      </c>
      <c r="D288" s="7" t="n"/>
      <c r="E288" s="7" t="n"/>
      <c r="F288" s="14" t="n"/>
      <c r="G288" s="14" t="n"/>
      <c r="H288" s="13" t="n"/>
      <c r="I288" s="31" t="n"/>
      <c r="J288" s="12">
        <f>IF(ISNUMBER($A288),$A288+ROW()/100000,"")</f>
        <v/>
      </c>
      <c r="K288" s="12">
        <f>IF(AND(ISNUMBER($J288),$B288&lt;&gt;"",$B288='顧客カルテ'!$C$3),$J288,"")</f>
        <v/>
      </c>
    </row>
    <row r="289" ht="30" customHeight="1">
      <c r="A289" s="13" t="n"/>
      <c r="B289" s="7" t="n"/>
      <c r="C289" s="11">
        <f>IF($B289="","",IFERROR(INDEX('顧客一覧'!$C$5:$C$104,MATCH($B289,'顧客一覧'!$A$5:$A$104,0))&amp;"","※顧客一覧にないID"))</f>
        <v/>
      </c>
      <c r="D289" s="7" t="n"/>
      <c r="E289" s="7" t="n"/>
      <c r="F289" s="14" t="n"/>
      <c r="G289" s="14" t="n"/>
      <c r="H289" s="13" t="n"/>
      <c r="I289" s="31" t="n"/>
      <c r="J289" s="12">
        <f>IF(ISNUMBER($A289),$A289+ROW()/100000,"")</f>
        <v/>
      </c>
      <c r="K289" s="12">
        <f>IF(AND(ISNUMBER($J289),$B289&lt;&gt;"",$B289='顧客カルテ'!$C$3),$J289,"")</f>
        <v/>
      </c>
    </row>
    <row r="290" ht="30" customHeight="1">
      <c r="A290" s="13" t="n"/>
      <c r="B290" s="7" t="n"/>
      <c r="C290" s="11">
        <f>IF($B290="","",IFERROR(INDEX('顧客一覧'!$C$5:$C$104,MATCH($B290,'顧客一覧'!$A$5:$A$104,0))&amp;"","※顧客一覧にないID"))</f>
        <v/>
      </c>
      <c r="D290" s="7" t="n"/>
      <c r="E290" s="7" t="n"/>
      <c r="F290" s="14" t="n"/>
      <c r="G290" s="14" t="n"/>
      <c r="H290" s="13" t="n"/>
      <c r="I290" s="31" t="n"/>
      <c r="J290" s="12">
        <f>IF(ISNUMBER($A290),$A290+ROW()/100000,"")</f>
        <v/>
      </c>
      <c r="K290" s="12">
        <f>IF(AND(ISNUMBER($J290),$B290&lt;&gt;"",$B290='顧客カルテ'!$C$3),$J290,"")</f>
        <v/>
      </c>
    </row>
    <row r="291" ht="30" customHeight="1">
      <c r="A291" s="13" t="n"/>
      <c r="B291" s="7" t="n"/>
      <c r="C291" s="11">
        <f>IF($B291="","",IFERROR(INDEX('顧客一覧'!$C$5:$C$104,MATCH($B291,'顧客一覧'!$A$5:$A$104,0))&amp;"","※顧客一覧にないID"))</f>
        <v/>
      </c>
      <c r="D291" s="7" t="n"/>
      <c r="E291" s="7" t="n"/>
      <c r="F291" s="14" t="n"/>
      <c r="G291" s="14" t="n"/>
      <c r="H291" s="13" t="n"/>
      <c r="I291" s="31" t="n"/>
      <c r="J291" s="12">
        <f>IF(ISNUMBER($A291),$A291+ROW()/100000,"")</f>
        <v/>
      </c>
      <c r="K291" s="12">
        <f>IF(AND(ISNUMBER($J291),$B291&lt;&gt;"",$B291='顧客カルテ'!$C$3),$J291,"")</f>
        <v/>
      </c>
    </row>
    <row r="292" ht="30" customHeight="1">
      <c r="A292" s="13" t="n"/>
      <c r="B292" s="7" t="n"/>
      <c r="C292" s="11">
        <f>IF($B292="","",IFERROR(INDEX('顧客一覧'!$C$5:$C$104,MATCH($B292,'顧客一覧'!$A$5:$A$104,0))&amp;"","※顧客一覧にないID"))</f>
        <v/>
      </c>
      <c r="D292" s="7" t="n"/>
      <c r="E292" s="7" t="n"/>
      <c r="F292" s="14" t="n"/>
      <c r="G292" s="14" t="n"/>
      <c r="H292" s="13" t="n"/>
      <c r="I292" s="31" t="n"/>
      <c r="J292" s="12">
        <f>IF(ISNUMBER($A292),$A292+ROW()/100000,"")</f>
        <v/>
      </c>
      <c r="K292" s="12">
        <f>IF(AND(ISNUMBER($J292),$B292&lt;&gt;"",$B292='顧客カルテ'!$C$3),$J292,"")</f>
        <v/>
      </c>
    </row>
    <row r="293" ht="30" customHeight="1">
      <c r="A293" s="13" t="n"/>
      <c r="B293" s="7" t="n"/>
      <c r="C293" s="11">
        <f>IF($B293="","",IFERROR(INDEX('顧客一覧'!$C$5:$C$104,MATCH($B293,'顧客一覧'!$A$5:$A$104,0))&amp;"","※顧客一覧にないID"))</f>
        <v/>
      </c>
      <c r="D293" s="7" t="n"/>
      <c r="E293" s="7" t="n"/>
      <c r="F293" s="14" t="n"/>
      <c r="G293" s="14" t="n"/>
      <c r="H293" s="13" t="n"/>
      <c r="I293" s="31" t="n"/>
      <c r="J293" s="12">
        <f>IF(ISNUMBER($A293),$A293+ROW()/100000,"")</f>
        <v/>
      </c>
      <c r="K293" s="12">
        <f>IF(AND(ISNUMBER($J293),$B293&lt;&gt;"",$B293='顧客カルテ'!$C$3),$J293,"")</f>
        <v/>
      </c>
    </row>
    <row r="294" ht="30" customHeight="1">
      <c r="A294" s="13" t="n"/>
      <c r="B294" s="7" t="n"/>
      <c r="C294" s="11">
        <f>IF($B294="","",IFERROR(INDEX('顧客一覧'!$C$5:$C$104,MATCH($B294,'顧客一覧'!$A$5:$A$104,0))&amp;"","※顧客一覧にないID"))</f>
        <v/>
      </c>
      <c r="D294" s="7" t="n"/>
      <c r="E294" s="7" t="n"/>
      <c r="F294" s="14" t="n"/>
      <c r="G294" s="14" t="n"/>
      <c r="H294" s="13" t="n"/>
      <c r="I294" s="31" t="n"/>
      <c r="J294" s="12">
        <f>IF(ISNUMBER($A294),$A294+ROW()/100000,"")</f>
        <v/>
      </c>
      <c r="K294" s="12">
        <f>IF(AND(ISNUMBER($J294),$B294&lt;&gt;"",$B294='顧客カルテ'!$C$3),$J294,"")</f>
        <v/>
      </c>
    </row>
    <row r="295" ht="30" customHeight="1">
      <c r="A295" s="13" t="n"/>
      <c r="B295" s="7" t="n"/>
      <c r="C295" s="11">
        <f>IF($B295="","",IFERROR(INDEX('顧客一覧'!$C$5:$C$104,MATCH($B295,'顧客一覧'!$A$5:$A$104,0))&amp;"","※顧客一覧にないID"))</f>
        <v/>
      </c>
      <c r="D295" s="7" t="n"/>
      <c r="E295" s="7" t="n"/>
      <c r="F295" s="14" t="n"/>
      <c r="G295" s="14" t="n"/>
      <c r="H295" s="13" t="n"/>
      <c r="I295" s="31" t="n"/>
      <c r="J295" s="12">
        <f>IF(ISNUMBER($A295),$A295+ROW()/100000,"")</f>
        <v/>
      </c>
      <c r="K295" s="12">
        <f>IF(AND(ISNUMBER($J295),$B295&lt;&gt;"",$B295='顧客カルテ'!$C$3),$J295,"")</f>
        <v/>
      </c>
    </row>
    <row r="296" ht="30" customHeight="1">
      <c r="A296" s="13" t="n"/>
      <c r="B296" s="7" t="n"/>
      <c r="C296" s="11">
        <f>IF($B296="","",IFERROR(INDEX('顧客一覧'!$C$5:$C$104,MATCH($B296,'顧客一覧'!$A$5:$A$104,0))&amp;"","※顧客一覧にないID"))</f>
        <v/>
      </c>
      <c r="D296" s="7" t="n"/>
      <c r="E296" s="7" t="n"/>
      <c r="F296" s="14" t="n"/>
      <c r="G296" s="14" t="n"/>
      <c r="H296" s="13" t="n"/>
      <c r="I296" s="31" t="n"/>
      <c r="J296" s="12">
        <f>IF(ISNUMBER($A296),$A296+ROW()/100000,"")</f>
        <v/>
      </c>
      <c r="K296" s="12">
        <f>IF(AND(ISNUMBER($J296),$B296&lt;&gt;"",$B296='顧客カルテ'!$C$3),$J296,"")</f>
        <v/>
      </c>
    </row>
    <row r="297" ht="30" customHeight="1">
      <c r="A297" s="13" t="n"/>
      <c r="B297" s="7" t="n"/>
      <c r="C297" s="11">
        <f>IF($B297="","",IFERROR(INDEX('顧客一覧'!$C$5:$C$104,MATCH($B297,'顧客一覧'!$A$5:$A$104,0))&amp;"","※顧客一覧にないID"))</f>
        <v/>
      </c>
      <c r="D297" s="7" t="n"/>
      <c r="E297" s="7" t="n"/>
      <c r="F297" s="14" t="n"/>
      <c r="G297" s="14" t="n"/>
      <c r="H297" s="13" t="n"/>
      <c r="I297" s="31" t="n"/>
      <c r="J297" s="12">
        <f>IF(ISNUMBER($A297),$A297+ROW()/100000,"")</f>
        <v/>
      </c>
      <c r="K297" s="12">
        <f>IF(AND(ISNUMBER($J297),$B297&lt;&gt;"",$B297='顧客カルテ'!$C$3),$J297,"")</f>
        <v/>
      </c>
    </row>
    <row r="298" ht="30" customHeight="1">
      <c r="A298" s="13" t="n"/>
      <c r="B298" s="7" t="n"/>
      <c r="C298" s="11">
        <f>IF($B298="","",IFERROR(INDEX('顧客一覧'!$C$5:$C$104,MATCH($B298,'顧客一覧'!$A$5:$A$104,0))&amp;"","※顧客一覧にないID"))</f>
        <v/>
      </c>
      <c r="D298" s="7" t="n"/>
      <c r="E298" s="7" t="n"/>
      <c r="F298" s="14" t="n"/>
      <c r="G298" s="14" t="n"/>
      <c r="H298" s="13" t="n"/>
      <c r="I298" s="31" t="n"/>
      <c r="J298" s="12">
        <f>IF(ISNUMBER($A298),$A298+ROW()/100000,"")</f>
        <v/>
      </c>
      <c r="K298" s="12">
        <f>IF(AND(ISNUMBER($J298),$B298&lt;&gt;"",$B298='顧客カルテ'!$C$3),$J298,"")</f>
        <v/>
      </c>
    </row>
    <row r="299" ht="30" customHeight="1">
      <c r="A299" s="13" t="n"/>
      <c r="B299" s="7" t="n"/>
      <c r="C299" s="11">
        <f>IF($B299="","",IFERROR(INDEX('顧客一覧'!$C$5:$C$104,MATCH($B299,'顧客一覧'!$A$5:$A$104,0))&amp;"","※顧客一覧にないID"))</f>
        <v/>
      </c>
      <c r="D299" s="7" t="n"/>
      <c r="E299" s="7" t="n"/>
      <c r="F299" s="14" t="n"/>
      <c r="G299" s="14" t="n"/>
      <c r="H299" s="13" t="n"/>
      <c r="I299" s="31" t="n"/>
      <c r="J299" s="12">
        <f>IF(ISNUMBER($A299),$A299+ROW()/100000,"")</f>
        <v/>
      </c>
      <c r="K299" s="12">
        <f>IF(AND(ISNUMBER($J299),$B299&lt;&gt;"",$B299='顧客カルテ'!$C$3),$J299,"")</f>
        <v/>
      </c>
    </row>
    <row r="300" ht="30" customHeight="1">
      <c r="A300" s="13" t="n"/>
      <c r="B300" s="7" t="n"/>
      <c r="C300" s="11">
        <f>IF($B300="","",IFERROR(INDEX('顧客一覧'!$C$5:$C$104,MATCH($B300,'顧客一覧'!$A$5:$A$104,0))&amp;"","※顧客一覧にないID"))</f>
        <v/>
      </c>
      <c r="D300" s="7" t="n"/>
      <c r="E300" s="7" t="n"/>
      <c r="F300" s="14" t="n"/>
      <c r="G300" s="14" t="n"/>
      <c r="H300" s="13" t="n"/>
      <c r="I300" s="31" t="n"/>
      <c r="J300" s="12">
        <f>IF(ISNUMBER($A300),$A300+ROW()/100000,"")</f>
        <v/>
      </c>
      <c r="K300" s="12">
        <f>IF(AND(ISNUMBER($J300),$B300&lt;&gt;"",$B300='顧客カルテ'!$C$3),$J300,"")</f>
        <v/>
      </c>
    </row>
    <row r="301" ht="30" customHeight="1">
      <c r="A301" s="13" t="n"/>
      <c r="B301" s="7" t="n"/>
      <c r="C301" s="11">
        <f>IF($B301="","",IFERROR(INDEX('顧客一覧'!$C$5:$C$104,MATCH($B301,'顧客一覧'!$A$5:$A$104,0))&amp;"","※顧客一覧にないID"))</f>
        <v/>
      </c>
      <c r="D301" s="7" t="n"/>
      <c r="E301" s="7" t="n"/>
      <c r="F301" s="14" t="n"/>
      <c r="G301" s="14" t="n"/>
      <c r="H301" s="13" t="n"/>
      <c r="I301" s="31" t="n"/>
      <c r="J301" s="12">
        <f>IF(ISNUMBER($A301),$A301+ROW()/100000,"")</f>
        <v/>
      </c>
      <c r="K301" s="12">
        <f>IF(AND(ISNUMBER($J301),$B301&lt;&gt;"",$B301='顧客カルテ'!$C$3),$J301,"")</f>
        <v/>
      </c>
    </row>
    <row r="302" ht="30" customHeight="1">
      <c r="A302" s="13" t="n"/>
      <c r="B302" s="7" t="n"/>
      <c r="C302" s="11">
        <f>IF($B302="","",IFERROR(INDEX('顧客一覧'!$C$5:$C$104,MATCH($B302,'顧客一覧'!$A$5:$A$104,0))&amp;"","※顧客一覧にないID"))</f>
        <v/>
      </c>
      <c r="D302" s="7" t="n"/>
      <c r="E302" s="7" t="n"/>
      <c r="F302" s="14" t="n"/>
      <c r="G302" s="14" t="n"/>
      <c r="H302" s="13" t="n"/>
      <c r="I302" s="31" t="n"/>
      <c r="J302" s="12">
        <f>IF(ISNUMBER($A302),$A302+ROW()/100000,"")</f>
        <v/>
      </c>
      <c r="K302" s="12">
        <f>IF(AND(ISNUMBER($J302),$B302&lt;&gt;"",$B302='顧客カルテ'!$C$3),$J302,"")</f>
        <v/>
      </c>
    </row>
    <row r="303" ht="30" customHeight="1">
      <c r="A303" s="13" t="n"/>
      <c r="B303" s="7" t="n"/>
      <c r="C303" s="11">
        <f>IF($B303="","",IFERROR(INDEX('顧客一覧'!$C$5:$C$104,MATCH($B303,'顧客一覧'!$A$5:$A$104,0))&amp;"","※顧客一覧にないID"))</f>
        <v/>
      </c>
      <c r="D303" s="7" t="n"/>
      <c r="E303" s="7" t="n"/>
      <c r="F303" s="14" t="n"/>
      <c r="G303" s="14" t="n"/>
      <c r="H303" s="13" t="n"/>
      <c r="I303" s="31" t="n"/>
      <c r="J303" s="12">
        <f>IF(ISNUMBER($A303),$A303+ROW()/100000,"")</f>
        <v/>
      </c>
      <c r="K303" s="12">
        <f>IF(AND(ISNUMBER($J303),$B303&lt;&gt;"",$B303='顧客カルテ'!$C$3),$J303,"")</f>
        <v/>
      </c>
    </row>
    <row r="304" ht="30" customHeight="1">
      <c r="A304" s="13" t="n"/>
      <c r="B304" s="7" t="n"/>
      <c r="C304" s="11">
        <f>IF($B304="","",IFERROR(INDEX('顧客一覧'!$C$5:$C$104,MATCH($B304,'顧客一覧'!$A$5:$A$104,0))&amp;"","※顧客一覧にないID"))</f>
        <v/>
      </c>
      <c r="D304" s="7" t="n"/>
      <c r="E304" s="7" t="n"/>
      <c r="F304" s="14" t="n"/>
      <c r="G304" s="14" t="n"/>
      <c r="H304" s="13" t="n"/>
      <c r="I304" s="31" t="n"/>
      <c r="J304" s="12">
        <f>IF(ISNUMBER($A304),$A304+ROW()/100000,"")</f>
        <v/>
      </c>
      <c r="K304" s="12">
        <f>IF(AND(ISNUMBER($J304),$B304&lt;&gt;"",$B304='顧客カルテ'!$C$3),$J304,"")</f>
        <v/>
      </c>
    </row>
  </sheetData>
  <autoFilter ref="A4:K304"/>
  <mergeCells count="3">
    <mergeCell ref="J3:K3"/>
    <mergeCell ref="A2:H2"/>
    <mergeCell ref="A1:H1"/>
  </mergeCells>
  <dataValidations count="4">
    <dataValidation sqref="A5:A304" showDropDown="0" showInputMessage="0" showErrorMessage="1" allowBlank="1" errorTitle="日付で入力してください" error="2026/10/1 のように、日付として入力してください。" type="date" operator="greaterThanOrEqual">
      <formula1>36526</formula1>
    </dataValidation>
    <dataValidation sqref="H5:H304" showDropDown="0" showInputMessage="0" showErrorMessage="1" allowBlank="1" errorTitle="日付で入力してください" error="2026/10/1 のように、日付として入力してください。" type="date" operator="greaterThanOrEqual">
      <formula1>36526</formula1>
    </dataValidation>
    <dataValidation sqref="B5:B304" showDropDown="0" showInputMessage="0" showErrorMessage="1" allowBlank="1" errorTitle="選択してください" error="顧客一覧に登録した顧客IDから選んでください" type="list">
      <formula1>='顧客一覧'!$A$5:$A$104</formula1>
    </dataValidation>
    <dataValidation sqref="E5:E304" showDropDown="0" showInputMessage="0" showErrorMessage="1" allowBlank="1" errorTitle="選択してください" error="一覧から選んでください" type="list">
      <formula1>"訪問,来店,電話,メール,オンライン,その他"</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1B3A5C"/>
    <outlinePr summaryBelow="1" summaryRight="1"/>
    <pageSetUpPr fitToPage="1"/>
  </sheetPr>
  <dimension ref="A1:H34"/>
  <sheetViews>
    <sheetView showGridLines="0" workbookViewId="0">
      <selection activeCell="A1" sqref="A1"/>
    </sheetView>
  </sheetViews>
  <sheetFormatPr baseColWidth="8" defaultRowHeight="15"/>
  <cols>
    <col width="12" customWidth="1" min="1" max="1"/>
    <col width="9" customWidth="1" min="2" max="2"/>
    <col width="10" customWidth="1" min="3" max="3"/>
    <col width="40" customWidth="1" min="4" max="4"/>
    <col width="26" customWidth="1" min="5" max="5"/>
    <col width="12" customWidth="1" min="6" max="6"/>
    <col width="3" customWidth="1" min="7" max="7"/>
    <col width="8" customWidth="1" min="8" max="8"/>
  </cols>
  <sheetData>
    <row r="1" ht="26" customHeight="1">
      <c r="A1" s="30" t="inlineStr">
        <is>
          <t>顧客カルテ</t>
        </is>
      </c>
      <c r="B1" s="31" t="n"/>
      <c r="C1" s="31" t="n"/>
      <c r="D1" s="31" t="n"/>
      <c r="E1" s="31" t="n"/>
      <c r="F1" s="31" t="n"/>
      <c r="G1" s="31" t="n"/>
      <c r="H1" s="31" t="n"/>
    </row>
    <row r="2" ht="18" customHeight="1">
      <c r="A2" s="32" t="inlineStr">
        <is>
          <t>C3 で顧客IDを選ぶと、基本情報と直近の対応履歴が出ます。そのまま印刷できます（A4縦・1枚）。</t>
        </is>
      </c>
      <c r="B2" s="31" t="n"/>
      <c r="C2" s="31" t="n"/>
      <c r="D2" s="31" t="n"/>
      <c r="E2" s="31" t="n"/>
      <c r="F2" s="31" t="n"/>
      <c r="G2" s="31" t="n"/>
      <c r="H2" s="33" t="inlineStr">
        <is>
          <t>作業列</t>
        </is>
      </c>
    </row>
    <row r="3" ht="24" customHeight="1">
      <c r="A3" s="34" t="inlineStr">
        <is>
          <t>顧客ID</t>
        </is>
      </c>
      <c r="B3" s="35" t="n"/>
      <c r="C3" s="36" t="n"/>
      <c r="D3" s="32" t="inlineStr">
        <is>
          <t>← プルダウンで選びます（顧客一覧に登録したID）</t>
        </is>
      </c>
      <c r="E3" s="31" t="n"/>
      <c r="F3" s="31" t="n"/>
      <c r="G3" s="31" t="n"/>
      <c r="H3" s="33">
        <f>IF($C$3="","",IFERROR(MATCH($C$3,'顧客一覧'!$A$5:$A$104,0),""))</f>
        <v/>
      </c>
    </row>
    <row r="4">
      <c r="A4" s="31" t="n"/>
      <c r="B4" s="31" t="n"/>
      <c r="C4" s="31" t="n"/>
      <c r="D4" s="31" t="n"/>
      <c r="E4" s="31" t="n"/>
      <c r="F4" s="31" t="n"/>
      <c r="G4" s="31" t="n"/>
      <c r="H4" s="31" t="n"/>
    </row>
    <row r="5">
      <c r="A5" s="30" t="inlineStr">
        <is>
          <t>基本情報</t>
        </is>
      </c>
      <c r="B5" s="31" t="n"/>
      <c r="C5" s="31" t="n"/>
      <c r="D5" s="31" t="n"/>
      <c r="E5" s="31" t="n"/>
      <c r="F5" s="31" t="n"/>
      <c r="G5" s="31" t="n"/>
      <c r="H5" s="31" t="n"/>
    </row>
    <row r="6" ht="21" customHeight="1">
      <c r="A6" s="34" t="inlineStr">
        <is>
          <t>会社名・氏名</t>
        </is>
      </c>
      <c r="B6" s="35" t="n"/>
      <c r="C6" s="19">
        <f>IF($H$3="","",INDEX('顧客一覧'!$C$5:$C$104,$H$3)&amp;"")</f>
        <v/>
      </c>
      <c r="D6" s="37" t="n"/>
      <c r="E6" s="37" t="n"/>
      <c r="F6" s="35" t="n"/>
      <c r="G6" s="31" t="n"/>
      <c r="H6" s="31" t="n"/>
    </row>
    <row r="7" ht="21" customHeight="1">
      <c r="A7" s="34" t="inlineStr">
        <is>
          <t>区分</t>
        </is>
      </c>
      <c r="B7" s="35" t="n"/>
      <c r="C7" s="19">
        <f>IF($H$3="","",INDEX('顧客一覧'!$B$5:$B$104,$H$3)&amp;"")</f>
        <v/>
      </c>
      <c r="D7" s="37" t="n"/>
      <c r="E7" s="37" t="n"/>
      <c r="F7" s="35" t="n"/>
      <c r="G7" s="31" t="n"/>
      <c r="H7" s="31" t="n"/>
    </row>
    <row r="8" ht="21" customHeight="1">
      <c r="A8" s="34" t="inlineStr">
        <is>
          <t>先方の担当者</t>
        </is>
      </c>
      <c r="B8" s="35" t="n"/>
      <c r="C8" s="19">
        <f>IF($H$3="","",INDEX('顧客一覧'!$D$5:$D$104,$H$3)&amp;"")</f>
        <v/>
      </c>
      <c r="D8" s="37" t="n"/>
      <c r="E8" s="37" t="n"/>
      <c r="F8" s="35" t="n"/>
      <c r="G8" s="31" t="n"/>
      <c r="H8" s="31" t="n"/>
    </row>
    <row r="9" ht="21" customHeight="1">
      <c r="A9" s="34" t="inlineStr">
        <is>
          <t>電話</t>
        </is>
      </c>
      <c r="B9" s="35" t="n"/>
      <c r="C9" s="19">
        <f>IF($H$3="","",INDEX('顧客一覧'!$E$5:$E$104,$H$3)&amp;"")</f>
        <v/>
      </c>
      <c r="D9" s="37" t="n"/>
      <c r="E9" s="37" t="n"/>
      <c r="F9" s="35" t="n"/>
      <c r="G9" s="31" t="n"/>
      <c r="H9" s="31" t="n"/>
    </row>
    <row r="10" ht="21" customHeight="1">
      <c r="A10" s="34" t="inlineStr">
        <is>
          <t>メール</t>
        </is>
      </c>
      <c r="B10" s="35" t="n"/>
      <c r="C10" s="19">
        <f>IF($H$3="","",INDEX('顧客一覧'!$F$5:$F$104,$H$3)&amp;"")</f>
        <v/>
      </c>
      <c r="D10" s="37" t="n"/>
      <c r="E10" s="37" t="n"/>
      <c r="F10" s="35" t="n"/>
      <c r="G10" s="31" t="n"/>
      <c r="H10" s="31" t="n"/>
    </row>
    <row r="11" ht="21" customHeight="1">
      <c r="A11" s="34" t="inlineStr">
        <is>
          <t>自社担当</t>
        </is>
      </c>
      <c r="B11" s="35" t="n"/>
      <c r="C11" s="19">
        <f>IF($H$3="","",INDEX('顧客一覧'!$G$5:$G$104,$H$3)&amp;"")</f>
        <v/>
      </c>
      <c r="D11" s="37" t="n"/>
      <c r="E11" s="37" t="n"/>
      <c r="F11" s="35" t="n"/>
      <c r="G11" s="31" t="n"/>
      <c r="H11" s="31" t="n"/>
    </row>
    <row r="12" ht="21" customHeight="1">
      <c r="A12" s="34" t="inlineStr">
        <is>
          <t>見込み度</t>
        </is>
      </c>
      <c r="B12" s="35" t="n"/>
      <c r="C12" s="19">
        <f>IF($H$3="","",INDEX('顧客一覧'!$H$5:$H$104,$H$3)&amp;"")</f>
        <v/>
      </c>
      <c r="D12" s="37" t="n"/>
      <c r="E12" s="37" t="n"/>
      <c r="F12" s="35" t="n"/>
      <c r="G12" s="31" t="n"/>
      <c r="H12" s="31" t="n"/>
    </row>
    <row r="13" ht="21" customHeight="1">
      <c r="A13" s="34" t="inlineStr">
        <is>
          <t>備考</t>
        </is>
      </c>
      <c r="B13" s="35" t="n"/>
      <c r="C13" s="19">
        <f>IF($H$3="","",INDEX('顧客一覧'!$I$5:$I$104,$H$3)&amp;"")</f>
        <v/>
      </c>
      <c r="D13" s="37" t="n"/>
      <c r="E13" s="37" t="n"/>
      <c r="F13" s="35" t="n"/>
      <c r="G13" s="31" t="n"/>
      <c r="H13" s="31" t="n"/>
    </row>
    <row r="14">
      <c r="A14" s="31" t="n"/>
      <c r="B14" s="31" t="n"/>
      <c r="C14" s="31" t="n"/>
      <c r="D14" s="31" t="n"/>
      <c r="E14" s="31" t="n"/>
      <c r="F14" s="31" t="n"/>
      <c r="G14" s="31" t="n"/>
      <c r="H14" s="31" t="n"/>
    </row>
    <row r="15">
      <c r="A15" s="30" t="inlineStr">
        <is>
          <t>対応の状況（対応履歴から自動）</t>
        </is>
      </c>
      <c r="B15" s="31" t="n"/>
      <c r="C15" s="31" t="n"/>
      <c r="D15" s="31" t="n"/>
      <c r="E15" s="31" t="n"/>
      <c r="F15" s="31" t="n"/>
      <c r="G15" s="31" t="n"/>
      <c r="H15" s="31" t="n"/>
    </row>
    <row r="16" ht="21" customHeight="1">
      <c r="A16" s="34" t="inlineStr">
        <is>
          <t>最終対応日</t>
        </is>
      </c>
      <c r="B16" s="35" t="n"/>
      <c r="C16" s="20">
        <f>IF($H$3="","",INDEX('顧客一覧'!$J$5:$J$104,$H$3))</f>
        <v/>
      </c>
      <c r="D16" s="37" t="n"/>
      <c r="E16" s="37" t="n"/>
      <c r="F16" s="35" t="n"/>
      <c r="G16" s="31" t="n"/>
      <c r="H16" s="31" t="n"/>
    </row>
    <row r="17" ht="21" customHeight="1">
      <c r="A17" s="34" t="inlineStr">
        <is>
          <t>対応回数</t>
        </is>
      </c>
      <c r="B17" s="35" t="n"/>
      <c r="C17" s="21">
        <f>IF($H$3="","",INDEX('顧客一覧'!$K$5:$K$104,$H$3))</f>
        <v/>
      </c>
      <c r="D17" s="37" t="n"/>
      <c r="E17" s="37" t="n"/>
      <c r="F17" s="35" t="n"/>
      <c r="G17" s="31" t="n"/>
      <c r="H17" s="31" t="n"/>
    </row>
    <row r="18" ht="21" customHeight="1">
      <c r="A18" s="34" t="inlineStr">
        <is>
          <t>次回アクション</t>
        </is>
      </c>
      <c r="B18" s="35" t="n"/>
      <c r="C18" s="19">
        <f>IF($H$3="","",INDEX('顧客一覧'!$L$5:$L$104,$H$3))</f>
        <v/>
      </c>
      <c r="D18" s="37" t="n"/>
      <c r="E18" s="37" t="n"/>
      <c r="F18" s="35" t="n"/>
      <c r="G18" s="31" t="n"/>
      <c r="H18" s="31" t="n"/>
    </row>
    <row r="19" ht="21" customHeight="1">
      <c r="A19" s="34" t="inlineStr">
        <is>
          <t>次回アクションの期日</t>
        </is>
      </c>
      <c r="B19" s="35" t="n"/>
      <c r="C19" s="20">
        <f>IF($H$3="","",INDEX('顧客一覧'!$M$5:$M$104,$H$3))</f>
        <v/>
      </c>
      <c r="D19" s="37" t="n"/>
      <c r="E19" s="37" t="n"/>
      <c r="F19" s="35" t="n"/>
      <c r="G19" s="31" t="n"/>
      <c r="H19" s="31" t="n"/>
    </row>
    <row r="20" ht="21" customHeight="1">
      <c r="A20" s="34" t="inlineStr">
        <is>
          <t>状況</t>
        </is>
      </c>
      <c r="B20" s="35" t="n"/>
      <c r="C20" s="19">
        <f>IF($H$3="","",INDEX('顧客一覧'!$N$5:$N$104,$H$3))</f>
        <v/>
      </c>
      <c r="D20" s="37" t="n"/>
      <c r="E20" s="37" t="n"/>
      <c r="F20" s="35" t="n"/>
      <c r="G20" s="31" t="n"/>
      <c r="H20" s="31" t="n"/>
    </row>
    <row r="21">
      <c r="A21" s="31" t="n"/>
      <c r="B21" s="31" t="n"/>
      <c r="C21" s="31" t="n"/>
      <c r="D21" s="31" t="n"/>
      <c r="E21" s="31" t="n"/>
      <c r="F21" s="31" t="n"/>
      <c r="G21" s="31" t="n"/>
      <c r="H21" s="31" t="n"/>
    </row>
    <row r="22">
      <c r="A22" s="30" t="inlineStr">
        <is>
          <t>直近の対応履歴（新しい順・10件まで）</t>
        </is>
      </c>
      <c r="B22" s="31" t="n"/>
      <c r="C22" s="31" t="n"/>
      <c r="D22" s="31" t="n"/>
      <c r="E22" s="31" t="n"/>
      <c r="F22" s="31" t="n"/>
      <c r="G22" s="31" t="n"/>
      <c r="H22" s="33" t="inlineStr">
        <is>
          <t>作業列</t>
        </is>
      </c>
    </row>
    <row r="23" ht="20" customHeight="1">
      <c r="A23" s="4" t="inlineStr">
        <is>
          <t>日付</t>
        </is>
      </c>
      <c r="B23" s="4" t="inlineStr">
        <is>
          <t>手段</t>
        </is>
      </c>
      <c r="C23" s="4" t="inlineStr">
        <is>
          <t>担当</t>
        </is>
      </c>
      <c r="D23" s="4" t="inlineStr">
        <is>
          <t>内容</t>
        </is>
      </c>
      <c r="E23" s="4" t="inlineStr">
        <is>
          <t>次回アクション</t>
        </is>
      </c>
      <c r="F23" s="4" t="inlineStr">
        <is>
          <t>期日</t>
        </is>
      </c>
      <c r="G23" s="31" t="n"/>
      <c r="H23" s="31" t="n"/>
    </row>
    <row r="24" ht="34" customHeight="1">
      <c r="A24" s="22">
        <f>IF($H24="","",IF(INDEX('対応履歴'!$A$5:$A$304,$H24)="","",INDEX('対応履歴'!$A$5:$A$304,$H24)))</f>
        <v/>
      </c>
      <c r="B24" s="23">
        <f>IF($H24="","",INDEX('対応履歴'!$E$5:$E$304,$H24)&amp;"")</f>
        <v/>
      </c>
      <c r="C24" s="23">
        <f>IF($H24="","",INDEX('対応履歴'!$D$5:$D$304,$H24)&amp;"")</f>
        <v/>
      </c>
      <c r="D24" s="24">
        <f>IF($H24="","",INDEX('対応履歴'!$F$5:$F$304,$H24)&amp;"")</f>
        <v/>
      </c>
      <c r="E24" s="24">
        <f>IF($H24="","",INDEX('対応履歴'!$G$5:$G$304,$H24)&amp;"")</f>
        <v/>
      </c>
      <c r="F24" s="22">
        <f>IF($H24="","",IF(INDEX('対応履歴'!$H$5:$H$304,$H24)="","",INDEX('対応履歴'!$H$5:$H$304,$H24)))</f>
        <v/>
      </c>
      <c r="G24" s="31" t="n"/>
      <c r="H24" s="33">
        <f>IFERROR(MATCH(LARGE('対応履歴'!$K$5:$K$304,1),'対応履歴'!$K$5:$K$304,0),"")</f>
        <v/>
      </c>
    </row>
    <row r="25" ht="34" customHeight="1">
      <c r="A25" s="22">
        <f>IF($H25="","",IF(INDEX('対応履歴'!$A$5:$A$304,$H25)="","",INDEX('対応履歴'!$A$5:$A$304,$H25)))</f>
        <v/>
      </c>
      <c r="B25" s="23">
        <f>IF($H25="","",INDEX('対応履歴'!$E$5:$E$304,$H25)&amp;"")</f>
        <v/>
      </c>
      <c r="C25" s="23">
        <f>IF($H25="","",INDEX('対応履歴'!$D$5:$D$304,$H25)&amp;"")</f>
        <v/>
      </c>
      <c r="D25" s="24">
        <f>IF($H25="","",INDEX('対応履歴'!$F$5:$F$304,$H25)&amp;"")</f>
        <v/>
      </c>
      <c r="E25" s="24">
        <f>IF($H25="","",INDEX('対応履歴'!$G$5:$G$304,$H25)&amp;"")</f>
        <v/>
      </c>
      <c r="F25" s="22">
        <f>IF($H25="","",IF(INDEX('対応履歴'!$H$5:$H$304,$H25)="","",INDEX('対応履歴'!$H$5:$H$304,$H25)))</f>
        <v/>
      </c>
      <c r="G25" s="31" t="n"/>
      <c r="H25" s="33">
        <f>IFERROR(MATCH(LARGE('対応履歴'!$K$5:$K$304,2),'対応履歴'!$K$5:$K$304,0),"")</f>
        <v/>
      </c>
    </row>
    <row r="26" ht="34" customHeight="1">
      <c r="A26" s="22">
        <f>IF($H26="","",IF(INDEX('対応履歴'!$A$5:$A$304,$H26)="","",INDEX('対応履歴'!$A$5:$A$304,$H26)))</f>
        <v/>
      </c>
      <c r="B26" s="23">
        <f>IF($H26="","",INDEX('対応履歴'!$E$5:$E$304,$H26)&amp;"")</f>
        <v/>
      </c>
      <c r="C26" s="23">
        <f>IF($H26="","",INDEX('対応履歴'!$D$5:$D$304,$H26)&amp;"")</f>
        <v/>
      </c>
      <c r="D26" s="24">
        <f>IF($H26="","",INDEX('対応履歴'!$F$5:$F$304,$H26)&amp;"")</f>
        <v/>
      </c>
      <c r="E26" s="24">
        <f>IF($H26="","",INDEX('対応履歴'!$G$5:$G$304,$H26)&amp;"")</f>
        <v/>
      </c>
      <c r="F26" s="22">
        <f>IF($H26="","",IF(INDEX('対応履歴'!$H$5:$H$304,$H26)="","",INDEX('対応履歴'!$H$5:$H$304,$H26)))</f>
        <v/>
      </c>
      <c r="G26" s="31" t="n"/>
      <c r="H26" s="33">
        <f>IFERROR(MATCH(LARGE('対応履歴'!$K$5:$K$304,3),'対応履歴'!$K$5:$K$304,0),"")</f>
        <v/>
      </c>
    </row>
    <row r="27" ht="34" customHeight="1">
      <c r="A27" s="22">
        <f>IF($H27="","",IF(INDEX('対応履歴'!$A$5:$A$304,$H27)="","",INDEX('対応履歴'!$A$5:$A$304,$H27)))</f>
        <v/>
      </c>
      <c r="B27" s="23">
        <f>IF($H27="","",INDEX('対応履歴'!$E$5:$E$304,$H27)&amp;"")</f>
        <v/>
      </c>
      <c r="C27" s="23">
        <f>IF($H27="","",INDEX('対応履歴'!$D$5:$D$304,$H27)&amp;"")</f>
        <v/>
      </c>
      <c r="D27" s="24">
        <f>IF($H27="","",INDEX('対応履歴'!$F$5:$F$304,$H27)&amp;"")</f>
        <v/>
      </c>
      <c r="E27" s="24">
        <f>IF($H27="","",INDEX('対応履歴'!$G$5:$G$304,$H27)&amp;"")</f>
        <v/>
      </c>
      <c r="F27" s="22">
        <f>IF($H27="","",IF(INDEX('対応履歴'!$H$5:$H$304,$H27)="","",INDEX('対応履歴'!$H$5:$H$304,$H27)))</f>
        <v/>
      </c>
      <c r="G27" s="31" t="n"/>
      <c r="H27" s="33">
        <f>IFERROR(MATCH(LARGE('対応履歴'!$K$5:$K$304,4),'対応履歴'!$K$5:$K$304,0),"")</f>
        <v/>
      </c>
    </row>
    <row r="28" ht="34" customHeight="1">
      <c r="A28" s="22">
        <f>IF($H28="","",IF(INDEX('対応履歴'!$A$5:$A$304,$H28)="","",INDEX('対応履歴'!$A$5:$A$304,$H28)))</f>
        <v/>
      </c>
      <c r="B28" s="23">
        <f>IF($H28="","",INDEX('対応履歴'!$E$5:$E$304,$H28)&amp;"")</f>
        <v/>
      </c>
      <c r="C28" s="23">
        <f>IF($H28="","",INDEX('対応履歴'!$D$5:$D$304,$H28)&amp;"")</f>
        <v/>
      </c>
      <c r="D28" s="24">
        <f>IF($H28="","",INDEX('対応履歴'!$F$5:$F$304,$H28)&amp;"")</f>
        <v/>
      </c>
      <c r="E28" s="24">
        <f>IF($H28="","",INDEX('対応履歴'!$G$5:$G$304,$H28)&amp;"")</f>
        <v/>
      </c>
      <c r="F28" s="22">
        <f>IF($H28="","",IF(INDEX('対応履歴'!$H$5:$H$304,$H28)="","",INDEX('対応履歴'!$H$5:$H$304,$H28)))</f>
        <v/>
      </c>
      <c r="G28" s="31" t="n"/>
      <c r="H28" s="33">
        <f>IFERROR(MATCH(LARGE('対応履歴'!$K$5:$K$304,5),'対応履歴'!$K$5:$K$304,0),"")</f>
        <v/>
      </c>
    </row>
    <row r="29" ht="34" customHeight="1">
      <c r="A29" s="22">
        <f>IF($H29="","",IF(INDEX('対応履歴'!$A$5:$A$304,$H29)="","",INDEX('対応履歴'!$A$5:$A$304,$H29)))</f>
        <v/>
      </c>
      <c r="B29" s="23">
        <f>IF($H29="","",INDEX('対応履歴'!$E$5:$E$304,$H29)&amp;"")</f>
        <v/>
      </c>
      <c r="C29" s="23">
        <f>IF($H29="","",INDEX('対応履歴'!$D$5:$D$304,$H29)&amp;"")</f>
        <v/>
      </c>
      <c r="D29" s="24">
        <f>IF($H29="","",INDEX('対応履歴'!$F$5:$F$304,$H29)&amp;"")</f>
        <v/>
      </c>
      <c r="E29" s="24">
        <f>IF($H29="","",INDEX('対応履歴'!$G$5:$G$304,$H29)&amp;"")</f>
        <v/>
      </c>
      <c r="F29" s="22">
        <f>IF($H29="","",IF(INDEX('対応履歴'!$H$5:$H$304,$H29)="","",INDEX('対応履歴'!$H$5:$H$304,$H29)))</f>
        <v/>
      </c>
      <c r="G29" s="31" t="n"/>
      <c r="H29" s="33">
        <f>IFERROR(MATCH(LARGE('対応履歴'!$K$5:$K$304,6),'対応履歴'!$K$5:$K$304,0),"")</f>
        <v/>
      </c>
    </row>
    <row r="30" ht="34" customHeight="1">
      <c r="A30" s="22">
        <f>IF($H30="","",IF(INDEX('対応履歴'!$A$5:$A$304,$H30)="","",INDEX('対応履歴'!$A$5:$A$304,$H30)))</f>
        <v/>
      </c>
      <c r="B30" s="23">
        <f>IF($H30="","",INDEX('対応履歴'!$E$5:$E$304,$H30)&amp;"")</f>
        <v/>
      </c>
      <c r="C30" s="23">
        <f>IF($H30="","",INDEX('対応履歴'!$D$5:$D$304,$H30)&amp;"")</f>
        <v/>
      </c>
      <c r="D30" s="24">
        <f>IF($H30="","",INDEX('対応履歴'!$F$5:$F$304,$H30)&amp;"")</f>
        <v/>
      </c>
      <c r="E30" s="24">
        <f>IF($H30="","",INDEX('対応履歴'!$G$5:$G$304,$H30)&amp;"")</f>
        <v/>
      </c>
      <c r="F30" s="22">
        <f>IF($H30="","",IF(INDEX('対応履歴'!$H$5:$H$304,$H30)="","",INDEX('対応履歴'!$H$5:$H$304,$H30)))</f>
        <v/>
      </c>
      <c r="G30" s="31" t="n"/>
      <c r="H30" s="33">
        <f>IFERROR(MATCH(LARGE('対応履歴'!$K$5:$K$304,7),'対応履歴'!$K$5:$K$304,0),"")</f>
        <v/>
      </c>
    </row>
    <row r="31" ht="34" customHeight="1">
      <c r="A31" s="22">
        <f>IF($H31="","",IF(INDEX('対応履歴'!$A$5:$A$304,$H31)="","",INDEX('対応履歴'!$A$5:$A$304,$H31)))</f>
        <v/>
      </c>
      <c r="B31" s="23">
        <f>IF($H31="","",INDEX('対応履歴'!$E$5:$E$304,$H31)&amp;"")</f>
        <v/>
      </c>
      <c r="C31" s="23">
        <f>IF($H31="","",INDEX('対応履歴'!$D$5:$D$304,$H31)&amp;"")</f>
        <v/>
      </c>
      <c r="D31" s="24">
        <f>IF($H31="","",INDEX('対応履歴'!$F$5:$F$304,$H31)&amp;"")</f>
        <v/>
      </c>
      <c r="E31" s="24">
        <f>IF($H31="","",INDEX('対応履歴'!$G$5:$G$304,$H31)&amp;"")</f>
        <v/>
      </c>
      <c r="F31" s="22">
        <f>IF($H31="","",IF(INDEX('対応履歴'!$H$5:$H$304,$H31)="","",INDEX('対応履歴'!$H$5:$H$304,$H31)))</f>
        <v/>
      </c>
      <c r="G31" s="31" t="n"/>
      <c r="H31" s="33">
        <f>IFERROR(MATCH(LARGE('対応履歴'!$K$5:$K$304,8),'対応履歴'!$K$5:$K$304,0),"")</f>
        <v/>
      </c>
    </row>
    <row r="32" ht="34" customHeight="1">
      <c r="A32" s="22">
        <f>IF($H32="","",IF(INDEX('対応履歴'!$A$5:$A$304,$H32)="","",INDEX('対応履歴'!$A$5:$A$304,$H32)))</f>
        <v/>
      </c>
      <c r="B32" s="23">
        <f>IF($H32="","",INDEX('対応履歴'!$E$5:$E$304,$H32)&amp;"")</f>
        <v/>
      </c>
      <c r="C32" s="23">
        <f>IF($H32="","",INDEX('対応履歴'!$D$5:$D$304,$H32)&amp;"")</f>
        <v/>
      </c>
      <c r="D32" s="24">
        <f>IF($H32="","",INDEX('対応履歴'!$F$5:$F$304,$H32)&amp;"")</f>
        <v/>
      </c>
      <c r="E32" s="24">
        <f>IF($H32="","",INDEX('対応履歴'!$G$5:$G$304,$H32)&amp;"")</f>
        <v/>
      </c>
      <c r="F32" s="22">
        <f>IF($H32="","",IF(INDEX('対応履歴'!$H$5:$H$304,$H32)="","",INDEX('対応履歴'!$H$5:$H$304,$H32)))</f>
        <v/>
      </c>
      <c r="G32" s="31" t="n"/>
      <c r="H32" s="33">
        <f>IFERROR(MATCH(LARGE('対応履歴'!$K$5:$K$304,9),'対応履歴'!$K$5:$K$304,0),"")</f>
        <v/>
      </c>
    </row>
    <row r="33" ht="34" customHeight="1">
      <c r="A33" s="22">
        <f>IF($H33="","",IF(INDEX('対応履歴'!$A$5:$A$304,$H33)="","",INDEX('対応履歴'!$A$5:$A$304,$H33)))</f>
        <v/>
      </c>
      <c r="B33" s="23">
        <f>IF($H33="","",INDEX('対応履歴'!$E$5:$E$304,$H33)&amp;"")</f>
        <v/>
      </c>
      <c r="C33" s="23">
        <f>IF($H33="","",INDEX('対応履歴'!$D$5:$D$304,$H33)&amp;"")</f>
        <v/>
      </c>
      <c r="D33" s="24">
        <f>IF($H33="","",INDEX('対応履歴'!$F$5:$F$304,$H33)&amp;"")</f>
        <v/>
      </c>
      <c r="E33" s="24">
        <f>IF($H33="","",INDEX('対応履歴'!$G$5:$G$304,$H33)&amp;"")</f>
        <v/>
      </c>
      <c r="F33" s="22">
        <f>IF($H33="","",IF(INDEX('対応履歴'!$H$5:$H$304,$H33)="","",INDEX('対応履歴'!$H$5:$H$304,$H33)))</f>
        <v/>
      </c>
      <c r="G33" s="31" t="n"/>
      <c r="H33" s="33">
        <f>IFERROR(MATCH(LARGE('対応履歴'!$K$5:$K$304,10),'対応履歴'!$K$5:$K$304,0),"")</f>
        <v/>
      </c>
    </row>
    <row r="34" ht="18" customHeight="1">
      <c r="A34" s="32">
        <f>IF($H$3="","","この顧客の対応履歴は全"&amp;INDEX('顧客一覧'!$K$5:$K$104,$H$3)&amp;"件です。10件を超える分は「対応履歴」シートで顧客IDを絞り込んでください。")</f>
        <v/>
      </c>
      <c r="B34" s="31" t="n"/>
      <c r="C34" s="31" t="n"/>
      <c r="D34" s="31" t="n"/>
      <c r="E34" s="31" t="n"/>
      <c r="F34" s="31" t="n"/>
      <c r="G34" s="31" t="n"/>
      <c r="H34" s="31" t="n"/>
    </row>
  </sheetData>
  <mergeCells count="34">
    <mergeCell ref="C17:F17"/>
    <mergeCell ref="C8:F8"/>
    <mergeCell ref="A11:B11"/>
    <mergeCell ref="C7:F7"/>
    <mergeCell ref="C19:F19"/>
    <mergeCell ref="A6:B6"/>
    <mergeCell ref="C13:F13"/>
    <mergeCell ref="A2:F2"/>
    <mergeCell ref="C18:F18"/>
    <mergeCell ref="A16:B16"/>
    <mergeCell ref="A7:B7"/>
    <mergeCell ref="A5:F5"/>
    <mergeCell ref="C6:F6"/>
    <mergeCell ref="D3:F3"/>
    <mergeCell ref="A22:F22"/>
    <mergeCell ref="A18:B18"/>
    <mergeCell ref="A3:B3"/>
    <mergeCell ref="A12:B12"/>
    <mergeCell ref="C20:F20"/>
    <mergeCell ref="C16:F16"/>
    <mergeCell ref="A34:F34"/>
    <mergeCell ref="A17:B17"/>
    <mergeCell ref="C10:F10"/>
    <mergeCell ref="A8:B8"/>
    <mergeCell ref="A15:F15"/>
    <mergeCell ref="C9:F9"/>
    <mergeCell ref="A20:B20"/>
    <mergeCell ref="A19:B19"/>
    <mergeCell ref="A1:F1"/>
    <mergeCell ref="C12:F12"/>
    <mergeCell ref="A10:B10"/>
    <mergeCell ref="A13:B13"/>
    <mergeCell ref="C11:F11"/>
    <mergeCell ref="A9:B9"/>
  </mergeCells>
  <dataValidations count="1">
    <dataValidation sqref="C3" showDropDown="0" showInputMessage="0" showErrorMessage="1" allowBlank="1" errorTitle="選択してください" error="顧客一覧に登録した顧客IDから選んでください" type="list">
      <formula1>='顧客一覧'!$A$5:$A$104</formula1>
    </dataValidation>
  </dataValidations>
  <pageMargins left="0.75" right="0.75" top="1" bottom="1" header="0.5" footer="0.5"/>
  <pageSetup orientation="portrait" paperSize="9" fitToHeight="1" fitToWidth="1"/>
</worksheet>
</file>

<file path=xl/worksheets/sheet4.xml><?xml version="1.0" encoding="utf-8"?>
<worksheet xmlns="http://schemas.openxmlformats.org/spreadsheetml/2006/main">
  <sheetPr>
    <tabColor rgb="001B3A5C"/>
    <outlinePr summaryBelow="1" summaryRight="1"/>
    <pageSetUpPr fitToPage="1"/>
  </sheetPr>
  <dimension ref="A1:J104"/>
  <sheetViews>
    <sheetView showGridLines="0" workbookViewId="0">
      <pane ySplit="4" topLeftCell="A5" activePane="bottomLeft" state="frozen"/>
      <selection pane="bottomLeft" activeCell="A1" sqref="A1"/>
    </sheetView>
  </sheetViews>
  <sheetFormatPr baseColWidth="8" defaultRowHeight="15"/>
  <cols>
    <col width="6" customWidth="1" min="1" max="1"/>
    <col width="12" customWidth="1" min="2" max="2"/>
    <col width="10" customWidth="1" min="3" max="3"/>
    <col width="9" customWidth="1" min="4" max="4"/>
    <col width="24" customWidth="1" min="5" max="5"/>
    <col width="32" customWidth="1" min="6" max="6"/>
    <col width="9" customWidth="1" min="7" max="7"/>
    <col width="9" customWidth="1" min="8" max="8"/>
    <col width="12" customWidth="1" min="9" max="9"/>
    <col width="8" customWidth="1" min="10" max="10"/>
  </cols>
  <sheetData>
    <row r="1" ht="24" customHeight="1">
      <c r="A1" s="30" t="inlineStr">
        <is>
          <t>次回アクション一覧（期日が近い順）</t>
        </is>
      </c>
      <c r="B1" s="31" t="n"/>
      <c r="C1" s="31" t="n"/>
      <c r="D1" s="31" t="n"/>
      <c r="E1" s="31" t="n"/>
      <c r="F1" s="31" t="n"/>
      <c r="G1" s="31" t="n"/>
      <c r="H1" s="31" t="n"/>
      <c r="I1" s="31" t="n"/>
      <c r="J1" s="31" t="n"/>
    </row>
    <row r="2" ht="28" customHeight="1">
      <c r="A2" s="34" t="inlineStr">
        <is>
          <t>基準日</t>
        </is>
      </c>
      <c r="B2" s="38">
        <f>TODAY()</f>
        <v/>
      </c>
      <c r="C2" s="32" t="inlineStr">
        <is>
          <t>← 今日の日付が入っています（=TODAY()）。特定の日で見たいときは、この日付を書き換えます。</t>
        </is>
      </c>
      <c r="D2" s="31" t="n"/>
      <c r="E2" s="31" t="n"/>
      <c r="F2" s="31" t="n"/>
      <c r="G2" s="31" t="n"/>
      <c r="H2" s="31" t="n"/>
      <c r="I2" s="31" t="n"/>
      <c r="J2" s="31" t="n"/>
    </row>
    <row r="3" ht="26" customHeight="1">
      <c r="A3" s="32" t="inlineStr">
        <is>
          <t>顧客ごとに、いちばん新しい対応に書いた次回アクションだけを出します。赤=期日超過、黄=3日以内。次回アクションを空にした顧客は出ません（対応終了として扱います）。</t>
        </is>
      </c>
      <c r="B3" s="31" t="n"/>
      <c r="C3" s="31" t="n"/>
      <c r="D3" s="31" t="n"/>
      <c r="E3" s="31" t="n"/>
      <c r="F3" s="31" t="n"/>
      <c r="G3" s="31" t="n"/>
      <c r="H3" s="31" t="n"/>
      <c r="I3" s="31" t="n"/>
      <c r="J3" s="31" t="n"/>
    </row>
    <row r="4" ht="24" customHeight="1">
      <c r="A4" s="4" t="inlineStr">
        <is>
          <t>No</t>
        </is>
      </c>
      <c r="B4" s="4" t="inlineStr">
        <is>
          <t>期日</t>
        </is>
      </c>
      <c r="C4" s="4" t="inlineStr">
        <is>
          <t>残り日数</t>
        </is>
      </c>
      <c r="D4" s="4" t="inlineStr">
        <is>
          <t>顧客ID</t>
        </is>
      </c>
      <c r="E4" s="4" t="inlineStr">
        <is>
          <t>会社名・氏名</t>
        </is>
      </c>
      <c r="F4" s="4" t="inlineStr">
        <is>
          <t>次回アクション</t>
        </is>
      </c>
      <c r="G4" s="4" t="inlineStr">
        <is>
          <t>自社担当</t>
        </is>
      </c>
      <c r="H4" s="4" t="inlineStr">
        <is>
          <t>見込み度</t>
        </is>
      </c>
      <c r="I4" s="4" t="inlineStr">
        <is>
          <t>最終対応日</t>
        </is>
      </c>
      <c r="J4" s="6" t="inlineStr">
        <is>
          <t>作業列</t>
        </is>
      </c>
    </row>
    <row r="5">
      <c r="A5" s="23">
        <f>IF($J5="","",1)</f>
        <v/>
      </c>
      <c r="B5" s="22">
        <f>IF($J5="","",IF(INDEX('顧客一覧'!$M$5:$M$104,$J5)="","期日未定",INDEX('顧客一覧'!$M$5:$M$104,$J5)))</f>
        <v/>
      </c>
      <c r="C5" s="26">
        <f>IF($J5="","",IF(ISNUMBER($B5),$B5-$B$2,""))</f>
        <v/>
      </c>
      <c r="D5" s="23">
        <f>IF($J5="","",INDEX('顧客一覧'!$A$5:$A$104,$J5))</f>
        <v/>
      </c>
      <c r="E5" s="19">
        <f>IF($J5="","",INDEX('顧客一覧'!$C$5:$C$104,$J5)&amp;"")</f>
        <v/>
      </c>
      <c r="F5" s="19">
        <f>IF($J5="","",INDEX('顧客一覧'!$L$5:$L$104,$J5)&amp;"")</f>
        <v/>
      </c>
      <c r="G5" s="23">
        <f>IF($J5="","",INDEX('顧客一覧'!$G$5:$G$104,$J5)&amp;"")</f>
        <v/>
      </c>
      <c r="H5" s="23">
        <f>IF($J5="","",INDEX('顧客一覧'!$H$5:$H$104,$J5)&amp;"")</f>
        <v/>
      </c>
      <c r="I5" s="22">
        <f>IF($J5="","",INDEX('顧客一覧'!$J$5:$J$104,$J5))</f>
        <v/>
      </c>
      <c r="J5" s="33">
        <f>IFERROR(MATCH(SMALL('顧客一覧'!$O$5:$O$104,1),'顧客一覧'!$O$5:$O$104,0),"")</f>
        <v/>
      </c>
    </row>
    <row r="6">
      <c r="A6" s="23">
        <f>IF($J6="","",2)</f>
        <v/>
      </c>
      <c r="B6" s="22">
        <f>IF($J6="","",IF(INDEX('顧客一覧'!$M$5:$M$104,$J6)="","期日未定",INDEX('顧客一覧'!$M$5:$M$104,$J6)))</f>
        <v/>
      </c>
      <c r="C6" s="26">
        <f>IF($J6="","",IF(ISNUMBER($B6),$B6-$B$2,""))</f>
        <v/>
      </c>
      <c r="D6" s="23">
        <f>IF($J6="","",INDEX('顧客一覧'!$A$5:$A$104,$J6))</f>
        <v/>
      </c>
      <c r="E6" s="19">
        <f>IF($J6="","",INDEX('顧客一覧'!$C$5:$C$104,$J6)&amp;"")</f>
        <v/>
      </c>
      <c r="F6" s="19">
        <f>IF($J6="","",INDEX('顧客一覧'!$L$5:$L$104,$J6)&amp;"")</f>
        <v/>
      </c>
      <c r="G6" s="23">
        <f>IF($J6="","",INDEX('顧客一覧'!$G$5:$G$104,$J6)&amp;"")</f>
        <v/>
      </c>
      <c r="H6" s="23">
        <f>IF($J6="","",INDEX('顧客一覧'!$H$5:$H$104,$J6)&amp;"")</f>
        <v/>
      </c>
      <c r="I6" s="22">
        <f>IF($J6="","",INDEX('顧客一覧'!$J$5:$J$104,$J6))</f>
        <v/>
      </c>
      <c r="J6" s="33">
        <f>IFERROR(MATCH(SMALL('顧客一覧'!$O$5:$O$104,2),'顧客一覧'!$O$5:$O$104,0),"")</f>
        <v/>
      </c>
    </row>
    <row r="7">
      <c r="A7" s="23">
        <f>IF($J7="","",3)</f>
        <v/>
      </c>
      <c r="B7" s="22">
        <f>IF($J7="","",IF(INDEX('顧客一覧'!$M$5:$M$104,$J7)="","期日未定",INDEX('顧客一覧'!$M$5:$M$104,$J7)))</f>
        <v/>
      </c>
      <c r="C7" s="26">
        <f>IF($J7="","",IF(ISNUMBER($B7),$B7-$B$2,""))</f>
        <v/>
      </c>
      <c r="D7" s="23">
        <f>IF($J7="","",INDEX('顧客一覧'!$A$5:$A$104,$J7))</f>
        <v/>
      </c>
      <c r="E7" s="19">
        <f>IF($J7="","",INDEX('顧客一覧'!$C$5:$C$104,$J7)&amp;"")</f>
        <v/>
      </c>
      <c r="F7" s="19">
        <f>IF($J7="","",INDEX('顧客一覧'!$L$5:$L$104,$J7)&amp;"")</f>
        <v/>
      </c>
      <c r="G7" s="23">
        <f>IF($J7="","",INDEX('顧客一覧'!$G$5:$G$104,$J7)&amp;"")</f>
        <v/>
      </c>
      <c r="H7" s="23">
        <f>IF($J7="","",INDEX('顧客一覧'!$H$5:$H$104,$J7)&amp;"")</f>
        <v/>
      </c>
      <c r="I7" s="22">
        <f>IF($J7="","",INDEX('顧客一覧'!$J$5:$J$104,$J7))</f>
        <v/>
      </c>
      <c r="J7" s="33">
        <f>IFERROR(MATCH(SMALL('顧客一覧'!$O$5:$O$104,3),'顧客一覧'!$O$5:$O$104,0),"")</f>
        <v/>
      </c>
    </row>
    <row r="8">
      <c r="A8" s="23">
        <f>IF($J8="","",4)</f>
        <v/>
      </c>
      <c r="B8" s="22">
        <f>IF($J8="","",IF(INDEX('顧客一覧'!$M$5:$M$104,$J8)="","期日未定",INDEX('顧客一覧'!$M$5:$M$104,$J8)))</f>
        <v/>
      </c>
      <c r="C8" s="26">
        <f>IF($J8="","",IF(ISNUMBER($B8),$B8-$B$2,""))</f>
        <v/>
      </c>
      <c r="D8" s="23">
        <f>IF($J8="","",INDEX('顧客一覧'!$A$5:$A$104,$J8))</f>
        <v/>
      </c>
      <c r="E8" s="19">
        <f>IF($J8="","",INDEX('顧客一覧'!$C$5:$C$104,$J8)&amp;"")</f>
        <v/>
      </c>
      <c r="F8" s="19">
        <f>IF($J8="","",INDEX('顧客一覧'!$L$5:$L$104,$J8)&amp;"")</f>
        <v/>
      </c>
      <c r="G8" s="23">
        <f>IF($J8="","",INDEX('顧客一覧'!$G$5:$G$104,$J8)&amp;"")</f>
        <v/>
      </c>
      <c r="H8" s="23">
        <f>IF($J8="","",INDEX('顧客一覧'!$H$5:$H$104,$J8)&amp;"")</f>
        <v/>
      </c>
      <c r="I8" s="22">
        <f>IF($J8="","",INDEX('顧客一覧'!$J$5:$J$104,$J8))</f>
        <v/>
      </c>
      <c r="J8" s="33">
        <f>IFERROR(MATCH(SMALL('顧客一覧'!$O$5:$O$104,4),'顧客一覧'!$O$5:$O$104,0),"")</f>
        <v/>
      </c>
    </row>
    <row r="9">
      <c r="A9" s="23">
        <f>IF($J9="","",5)</f>
        <v/>
      </c>
      <c r="B9" s="22">
        <f>IF($J9="","",IF(INDEX('顧客一覧'!$M$5:$M$104,$J9)="","期日未定",INDEX('顧客一覧'!$M$5:$M$104,$J9)))</f>
        <v/>
      </c>
      <c r="C9" s="26">
        <f>IF($J9="","",IF(ISNUMBER($B9),$B9-$B$2,""))</f>
        <v/>
      </c>
      <c r="D9" s="23">
        <f>IF($J9="","",INDEX('顧客一覧'!$A$5:$A$104,$J9))</f>
        <v/>
      </c>
      <c r="E9" s="19">
        <f>IF($J9="","",INDEX('顧客一覧'!$C$5:$C$104,$J9)&amp;"")</f>
        <v/>
      </c>
      <c r="F9" s="19">
        <f>IF($J9="","",INDEX('顧客一覧'!$L$5:$L$104,$J9)&amp;"")</f>
        <v/>
      </c>
      <c r="G9" s="23">
        <f>IF($J9="","",INDEX('顧客一覧'!$G$5:$G$104,$J9)&amp;"")</f>
        <v/>
      </c>
      <c r="H9" s="23">
        <f>IF($J9="","",INDEX('顧客一覧'!$H$5:$H$104,$J9)&amp;"")</f>
        <v/>
      </c>
      <c r="I9" s="22">
        <f>IF($J9="","",INDEX('顧客一覧'!$J$5:$J$104,$J9))</f>
        <v/>
      </c>
      <c r="J9" s="33">
        <f>IFERROR(MATCH(SMALL('顧客一覧'!$O$5:$O$104,5),'顧客一覧'!$O$5:$O$104,0),"")</f>
        <v/>
      </c>
    </row>
    <row r="10">
      <c r="A10" s="23">
        <f>IF($J10="","",6)</f>
        <v/>
      </c>
      <c r="B10" s="22">
        <f>IF($J10="","",IF(INDEX('顧客一覧'!$M$5:$M$104,$J10)="","期日未定",INDEX('顧客一覧'!$M$5:$M$104,$J10)))</f>
        <v/>
      </c>
      <c r="C10" s="26">
        <f>IF($J10="","",IF(ISNUMBER($B10),$B10-$B$2,""))</f>
        <v/>
      </c>
      <c r="D10" s="23">
        <f>IF($J10="","",INDEX('顧客一覧'!$A$5:$A$104,$J10))</f>
        <v/>
      </c>
      <c r="E10" s="19">
        <f>IF($J10="","",INDEX('顧客一覧'!$C$5:$C$104,$J10)&amp;"")</f>
        <v/>
      </c>
      <c r="F10" s="19">
        <f>IF($J10="","",INDEX('顧客一覧'!$L$5:$L$104,$J10)&amp;"")</f>
        <v/>
      </c>
      <c r="G10" s="23">
        <f>IF($J10="","",INDEX('顧客一覧'!$G$5:$G$104,$J10)&amp;"")</f>
        <v/>
      </c>
      <c r="H10" s="23">
        <f>IF($J10="","",INDEX('顧客一覧'!$H$5:$H$104,$J10)&amp;"")</f>
        <v/>
      </c>
      <c r="I10" s="22">
        <f>IF($J10="","",INDEX('顧客一覧'!$J$5:$J$104,$J10))</f>
        <v/>
      </c>
      <c r="J10" s="33">
        <f>IFERROR(MATCH(SMALL('顧客一覧'!$O$5:$O$104,6),'顧客一覧'!$O$5:$O$104,0),"")</f>
        <v/>
      </c>
    </row>
    <row r="11">
      <c r="A11" s="23">
        <f>IF($J11="","",7)</f>
        <v/>
      </c>
      <c r="B11" s="22">
        <f>IF($J11="","",IF(INDEX('顧客一覧'!$M$5:$M$104,$J11)="","期日未定",INDEX('顧客一覧'!$M$5:$M$104,$J11)))</f>
        <v/>
      </c>
      <c r="C11" s="26">
        <f>IF($J11="","",IF(ISNUMBER($B11),$B11-$B$2,""))</f>
        <v/>
      </c>
      <c r="D11" s="23">
        <f>IF($J11="","",INDEX('顧客一覧'!$A$5:$A$104,$J11))</f>
        <v/>
      </c>
      <c r="E11" s="19">
        <f>IF($J11="","",INDEX('顧客一覧'!$C$5:$C$104,$J11)&amp;"")</f>
        <v/>
      </c>
      <c r="F11" s="19">
        <f>IF($J11="","",INDEX('顧客一覧'!$L$5:$L$104,$J11)&amp;"")</f>
        <v/>
      </c>
      <c r="G11" s="23">
        <f>IF($J11="","",INDEX('顧客一覧'!$G$5:$G$104,$J11)&amp;"")</f>
        <v/>
      </c>
      <c r="H11" s="23">
        <f>IF($J11="","",INDEX('顧客一覧'!$H$5:$H$104,$J11)&amp;"")</f>
        <v/>
      </c>
      <c r="I11" s="22">
        <f>IF($J11="","",INDEX('顧客一覧'!$J$5:$J$104,$J11))</f>
        <v/>
      </c>
      <c r="J11" s="33">
        <f>IFERROR(MATCH(SMALL('顧客一覧'!$O$5:$O$104,7),'顧客一覧'!$O$5:$O$104,0),"")</f>
        <v/>
      </c>
    </row>
    <row r="12">
      <c r="A12" s="23">
        <f>IF($J12="","",8)</f>
        <v/>
      </c>
      <c r="B12" s="22">
        <f>IF($J12="","",IF(INDEX('顧客一覧'!$M$5:$M$104,$J12)="","期日未定",INDEX('顧客一覧'!$M$5:$M$104,$J12)))</f>
        <v/>
      </c>
      <c r="C12" s="26">
        <f>IF($J12="","",IF(ISNUMBER($B12),$B12-$B$2,""))</f>
        <v/>
      </c>
      <c r="D12" s="23">
        <f>IF($J12="","",INDEX('顧客一覧'!$A$5:$A$104,$J12))</f>
        <v/>
      </c>
      <c r="E12" s="19">
        <f>IF($J12="","",INDEX('顧客一覧'!$C$5:$C$104,$J12)&amp;"")</f>
        <v/>
      </c>
      <c r="F12" s="19">
        <f>IF($J12="","",INDEX('顧客一覧'!$L$5:$L$104,$J12)&amp;"")</f>
        <v/>
      </c>
      <c r="G12" s="23">
        <f>IF($J12="","",INDEX('顧客一覧'!$G$5:$G$104,$J12)&amp;"")</f>
        <v/>
      </c>
      <c r="H12" s="23">
        <f>IF($J12="","",INDEX('顧客一覧'!$H$5:$H$104,$J12)&amp;"")</f>
        <v/>
      </c>
      <c r="I12" s="22">
        <f>IF($J12="","",INDEX('顧客一覧'!$J$5:$J$104,$J12))</f>
        <v/>
      </c>
      <c r="J12" s="33">
        <f>IFERROR(MATCH(SMALL('顧客一覧'!$O$5:$O$104,8),'顧客一覧'!$O$5:$O$104,0),"")</f>
        <v/>
      </c>
    </row>
    <row r="13">
      <c r="A13" s="23">
        <f>IF($J13="","",9)</f>
        <v/>
      </c>
      <c r="B13" s="22">
        <f>IF($J13="","",IF(INDEX('顧客一覧'!$M$5:$M$104,$J13)="","期日未定",INDEX('顧客一覧'!$M$5:$M$104,$J13)))</f>
        <v/>
      </c>
      <c r="C13" s="26">
        <f>IF($J13="","",IF(ISNUMBER($B13),$B13-$B$2,""))</f>
        <v/>
      </c>
      <c r="D13" s="23">
        <f>IF($J13="","",INDEX('顧客一覧'!$A$5:$A$104,$J13))</f>
        <v/>
      </c>
      <c r="E13" s="19">
        <f>IF($J13="","",INDEX('顧客一覧'!$C$5:$C$104,$J13)&amp;"")</f>
        <v/>
      </c>
      <c r="F13" s="19">
        <f>IF($J13="","",INDEX('顧客一覧'!$L$5:$L$104,$J13)&amp;"")</f>
        <v/>
      </c>
      <c r="G13" s="23">
        <f>IF($J13="","",INDEX('顧客一覧'!$G$5:$G$104,$J13)&amp;"")</f>
        <v/>
      </c>
      <c r="H13" s="23">
        <f>IF($J13="","",INDEX('顧客一覧'!$H$5:$H$104,$J13)&amp;"")</f>
        <v/>
      </c>
      <c r="I13" s="22">
        <f>IF($J13="","",INDEX('顧客一覧'!$J$5:$J$104,$J13))</f>
        <v/>
      </c>
      <c r="J13" s="33">
        <f>IFERROR(MATCH(SMALL('顧客一覧'!$O$5:$O$104,9),'顧客一覧'!$O$5:$O$104,0),"")</f>
        <v/>
      </c>
    </row>
    <row r="14">
      <c r="A14" s="23">
        <f>IF($J14="","",10)</f>
        <v/>
      </c>
      <c r="B14" s="22">
        <f>IF($J14="","",IF(INDEX('顧客一覧'!$M$5:$M$104,$J14)="","期日未定",INDEX('顧客一覧'!$M$5:$M$104,$J14)))</f>
        <v/>
      </c>
      <c r="C14" s="26">
        <f>IF($J14="","",IF(ISNUMBER($B14),$B14-$B$2,""))</f>
        <v/>
      </c>
      <c r="D14" s="23">
        <f>IF($J14="","",INDEX('顧客一覧'!$A$5:$A$104,$J14))</f>
        <v/>
      </c>
      <c r="E14" s="19">
        <f>IF($J14="","",INDEX('顧客一覧'!$C$5:$C$104,$J14)&amp;"")</f>
        <v/>
      </c>
      <c r="F14" s="19">
        <f>IF($J14="","",INDEX('顧客一覧'!$L$5:$L$104,$J14)&amp;"")</f>
        <v/>
      </c>
      <c r="G14" s="23">
        <f>IF($J14="","",INDEX('顧客一覧'!$G$5:$G$104,$J14)&amp;"")</f>
        <v/>
      </c>
      <c r="H14" s="23">
        <f>IF($J14="","",INDEX('顧客一覧'!$H$5:$H$104,$J14)&amp;"")</f>
        <v/>
      </c>
      <c r="I14" s="22">
        <f>IF($J14="","",INDEX('顧客一覧'!$J$5:$J$104,$J14))</f>
        <v/>
      </c>
      <c r="J14" s="33">
        <f>IFERROR(MATCH(SMALL('顧客一覧'!$O$5:$O$104,10),'顧客一覧'!$O$5:$O$104,0),"")</f>
        <v/>
      </c>
    </row>
    <row r="15">
      <c r="A15" s="23">
        <f>IF($J15="","",11)</f>
        <v/>
      </c>
      <c r="B15" s="22">
        <f>IF($J15="","",IF(INDEX('顧客一覧'!$M$5:$M$104,$J15)="","期日未定",INDEX('顧客一覧'!$M$5:$M$104,$J15)))</f>
        <v/>
      </c>
      <c r="C15" s="26">
        <f>IF($J15="","",IF(ISNUMBER($B15),$B15-$B$2,""))</f>
        <v/>
      </c>
      <c r="D15" s="23">
        <f>IF($J15="","",INDEX('顧客一覧'!$A$5:$A$104,$J15))</f>
        <v/>
      </c>
      <c r="E15" s="19">
        <f>IF($J15="","",INDEX('顧客一覧'!$C$5:$C$104,$J15)&amp;"")</f>
        <v/>
      </c>
      <c r="F15" s="19">
        <f>IF($J15="","",INDEX('顧客一覧'!$L$5:$L$104,$J15)&amp;"")</f>
        <v/>
      </c>
      <c r="G15" s="23">
        <f>IF($J15="","",INDEX('顧客一覧'!$G$5:$G$104,$J15)&amp;"")</f>
        <v/>
      </c>
      <c r="H15" s="23">
        <f>IF($J15="","",INDEX('顧客一覧'!$H$5:$H$104,$J15)&amp;"")</f>
        <v/>
      </c>
      <c r="I15" s="22">
        <f>IF($J15="","",INDEX('顧客一覧'!$J$5:$J$104,$J15))</f>
        <v/>
      </c>
      <c r="J15" s="33">
        <f>IFERROR(MATCH(SMALL('顧客一覧'!$O$5:$O$104,11),'顧客一覧'!$O$5:$O$104,0),"")</f>
        <v/>
      </c>
    </row>
    <row r="16">
      <c r="A16" s="23">
        <f>IF($J16="","",12)</f>
        <v/>
      </c>
      <c r="B16" s="22">
        <f>IF($J16="","",IF(INDEX('顧客一覧'!$M$5:$M$104,$J16)="","期日未定",INDEX('顧客一覧'!$M$5:$M$104,$J16)))</f>
        <v/>
      </c>
      <c r="C16" s="26">
        <f>IF($J16="","",IF(ISNUMBER($B16),$B16-$B$2,""))</f>
        <v/>
      </c>
      <c r="D16" s="23">
        <f>IF($J16="","",INDEX('顧客一覧'!$A$5:$A$104,$J16))</f>
        <v/>
      </c>
      <c r="E16" s="19">
        <f>IF($J16="","",INDEX('顧客一覧'!$C$5:$C$104,$J16)&amp;"")</f>
        <v/>
      </c>
      <c r="F16" s="19">
        <f>IF($J16="","",INDEX('顧客一覧'!$L$5:$L$104,$J16)&amp;"")</f>
        <v/>
      </c>
      <c r="G16" s="23">
        <f>IF($J16="","",INDEX('顧客一覧'!$G$5:$G$104,$J16)&amp;"")</f>
        <v/>
      </c>
      <c r="H16" s="23">
        <f>IF($J16="","",INDEX('顧客一覧'!$H$5:$H$104,$J16)&amp;"")</f>
        <v/>
      </c>
      <c r="I16" s="22">
        <f>IF($J16="","",INDEX('顧客一覧'!$J$5:$J$104,$J16))</f>
        <v/>
      </c>
      <c r="J16" s="33">
        <f>IFERROR(MATCH(SMALL('顧客一覧'!$O$5:$O$104,12),'顧客一覧'!$O$5:$O$104,0),"")</f>
        <v/>
      </c>
    </row>
    <row r="17">
      <c r="A17" s="23">
        <f>IF($J17="","",13)</f>
        <v/>
      </c>
      <c r="B17" s="22">
        <f>IF($J17="","",IF(INDEX('顧客一覧'!$M$5:$M$104,$J17)="","期日未定",INDEX('顧客一覧'!$M$5:$M$104,$J17)))</f>
        <v/>
      </c>
      <c r="C17" s="26">
        <f>IF($J17="","",IF(ISNUMBER($B17),$B17-$B$2,""))</f>
        <v/>
      </c>
      <c r="D17" s="23">
        <f>IF($J17="","",INDEX('顧客一覧'!$A$5:$A$104,$J17))</f>
        <v/>
      </c>
      <c r="E17" s="19">
        <f>IF($J17="","",INDEX('顧客一覧'!$C$5:$C$104,$J17)&amp;"")</f>
        <v/>
      </c>
      <c r="F17" s="19">
        <f>IF($J17="","",INDEX('顧客一覧'!$L$5:$L$104,$J17)&amp;"")</f>
        <v/>
      </c>
      <c r="G17" s="23">
        <f>IF($J17="","",INDEX('顧客一覧'!$G$5:$G$104,$J17)&amp;"")</f>
        <v/>
      </c>
      <c r="H17" s="23">
        <f>IF($J17="","",INDEX('顧客一覧'!$H$5:$H$104,$J17)&amp;"")</f>
        <v/>
      </c>
      <c r="I17" s="22">
        <f>IF($J17="","",INDEX('顧客一覧'!$J$5:$J$104,$J17))</f>
        <v/>
      </c>
      <c r="J17" s="33">
        <f>IFERROR(MATCH(SMALL('顧客一覧'!$O$5:$O$104,13),'顧客一覧'!$O$5:$O$104,0),"")</f>
        <v/>
      </c>
    </row>
    <row r="18">
      <c r="A18" s="23">
        <f>IF($J18="","",14)</f>
        <v/>
      </c>
      <c r="B18" s="22">
        <f>IF($J18="","",IF(INDEX('顧客一覧'!$M$5:$M$104,$J18)="","期日未定",INDEX('顧客一覧'!$M$5:$M$104,$J18)))</f>
        <v/>
      </c>
      <c r="C18" s="26">
        <f>IF($J18="","",IF(ISNUMBER($B18),$B18-$B$2,""))</f>
        <v/>
      </c>
      <c r="D18" s="23">
        <f>IF($J18="","",INDEX('顧客一覧'!$A$5:$A$104,$J18))</f>
        <v/>
      </c>
      <c r="E18" s="19">
        <f>IF($J18="","",INDEX('顧客一覧'!$C$5:$C$104,$J18)&amp;"")</f>
        <v/>
      </c>
      <c r="F18" s="19">
        <f>IF($J18="","",INDEX('顧客一覧'!$L$5:$L$104,$J18)&amp;"")</f>
        <v/>
      </c>
      <c r="G18" s="23">
        <f>IF($J18="","",INDEX('顧客一覧'!$G$5:$G$104,$J18)&amp;"")</f>
        <v/>
      </c>
      <c r="H18" s="23">
        <f>IF($J18="","",INDEX('顧客一覧'!$H$5:$H$104,$J18)&amp;"")</f>
        <v/>
      </c>
      <c r="I18" s="22">
        <f>IF($J18="","",INDEX('顧客一覧'!$J$5:$J$104,$J18))</f>
        <v/>
      </c>
      <c r="J18" s="33">
        <f>IFERROR(MATCH(SMALL('顧客一覧'!$O$5:$O$104,14),'顧客一覧'!$O$5:$O$104,0),"")</f>
        <v/>
      </c>
    </row>
    <row r="19">
      <c r="A19" s="23">
        <f>IF($J19="","",15)</f>
        <v/>
      </c>
      <c r="B19" s="22">
        <f>IF($J19="","",IF(INDEX('顧客一覧'!$M$5:$M$104,$J19)="","期日未定",INDEX('顧客一覧'!$M$5:$M$104,$J19)))</f>
        <v/>
      </c>
      <c r="C19" s="26">
        <f>IF($J19="","",IF(ISNUMBER($B19),$B19-$B$2,""))</f>
        <v/>
      </c>
      <c r="D19" s="23">
        <f>IF($J19="","",INDEX('顧客一覧'!$A$5:$A$104,$J19))</f>
        <v/>
      </c>
      <c r="E19" s="19">
        <f>IF($J19="","",INDEX('顧客一覧'!$C$5:$C$104,$J19)&amp;"")</f>
        <v/>
      </c>
      <c r="F19" s="19">
        <f>IF($J19="","",INDEX('顧客一覧'!$L$5:$L$104,$J19)&amp;"")</f>
        <v/>
      </c>
      <c r="G19" s="23">
        <f>IF($J19="","",INDEX('顧客一覧'!$G$5:$G$104,$J19)&amp;"")</f>
        <v/>
      </c>
      <c r="H19" s="23">
        <f>IF($J19="","",INDEX('顧客一覧'!$H$5:$H$104,$J19)&amp;"")</f>
        <v/>
      </c>
      <c r="I19" s="22">
        <f>IF($J19="","",INDEX('顧客一覧'!$J$5:$J$104,$J19))</f>
        <v/>
      </c>
      <c r="J19" s="33">
        <f>IFERROR(MATCH(SMALL('顧客一覧'!$O$5:$O$104,15),'顧客一覧'!$O$5:$O$104,0),"")</f>
        <v/>
      </c>
    </row>
    <row r="20">
      <c r="A20" s="23">
        <f>IF($J20="","",16)</f>
        <v/>
      </c>
      <c r="B20" s="22">
        <f>IF($J20="","",IF(INDEX('顧客一覧'!$M$5:$M$104,$J20)="","期日未定",INDEX('顧客一覧'!$M$5:$M$104,$J20)))</f>
        <v/>
      </c>
      <c r="C20" s="26">
        <f>IF($J20="","",IF(ISNUMBER($B20),$B20-$B$2,""))</f>
        <v/>
      </c>
      <c r="D20" s="23">
        <f>IF($J20="","",INDEX('顧客一覧'!$A$5:$A$104,$J20))</f>
        <v/>
      </c>
      <c r="E20" s="19">
        <f>IF($J20="","",INDEX('顧客一覧'!$C$5:$C$104,$J20)&amp;"")</f>
        <v/>
      </c>
      <c r="F20" s="19">
        <f>IF($J20="","",INDEX('顧客一覧'!$L$5:$L$104,$J20)&amp;"")</f>
        <v/>
      </c>
      <c r="G20" s="23">
        <f>IF($J20="","",INDEX('顧客一覧'!$G$5:$G$104,$J20)&amp;"")</f>
        <v/>
      </c>
      <c r="H20" s="23">
        <f>IF($J20="","",INDEX('顧客一覧'!$H$5:$H$104,$J20)&amp;"")</f>
        <v/>
      </c>
      <c r="I20" s="22">
        <f>IF($J20="","",INDEX('顧客一覧'!$J$5:$J$104,$J20))</f>
        <v/>
      </c>
      <c r="J20" s="33">
        <f>IFERROR(MATCH(SMALL('顧客一覧'!$O$5:$O$104,16),'顧客一覧'!$O$5:$O$104,0),"")</f>
        <v/>
      </c>
    </row>
    <row r="21">
      <c r="A21" s="23">
        <f>IF($J21="","",17)</f>
        <v/>
      </c>
      <c r="B21" s="22">
        <f>IF($J21="","",IF(INDEX('顧客一覧'!$M$5:$M$104,$J21)="","期日未定",INDEX('顧客一覧'!$M$5:$M$104,$J21)))</f>
        <v/>
      </c>
      <c r="C21" s="26">
        <f>IF($J21="","",IF(ISNUMBER($B21),$B21-$B$2,""))</f>
        <v/>
      </c>
      <c r="D21" s="23">
        <f>IF($J21="","",INDEX('顧客一覧'!$A$5:$A$104,$J21))</f>
        <v/>
      </c>
      <c r="E21" s="19">
        <f>IF($J21="","",INDEX('顧客一覧'!$C$5:$C$104,$J21)&amp;"")</f>
        <v/>
      </c>
      <c r="F21" s="19">
        <f>IF($J21="","",INDEX('顧客一覧'!$L$5:$L$104,$J21)&amp;"")</f>
        <v/>
      </c>
      <c r="G21" s="23">
        <f>IF($J21="","",INDEX('顧客一覧'!$G$5:$G$104,$J21)&amp;"")</f>
        <v/>
      </c>
      <c r="H21" s="23">
        <f>IF($J21="","",INDEX('顧客一覧'!$H$5:$H$104,$J21)&amp;"")</f>
        <v/>
      </c>
      <c r="I21" s="22">
        <f>IF($J21="","",INDEX('顧客一覧'!$J$5:$J$104,$J21))</f>
        <v/>
      </c>
      <c r="J21" s="33">
        <f>IFERROR(MATCH(SMALL('顧客一覧'!$O$5:$O$104,17),'顧客一覧'!$O$5:$O$104,0),"")</f>
        <v/>
      </c>
    </row>
    <row r="22">
      <c r="A22" s="23">
        <f>IF($J22="","",18)</f>
        <v/>
      </c>
      <c r="B22" s="22">
        <f>IF($J22="","",IF(INDEX('顧客一覧'!$M$5:$M$104,$J22)="","期日未定",INDEX('顧客一覧'!$M$5:$M$104,$J22)))</f>
        <v/>
      </c>
      <c r="C22" s="26">
        <f>IF($J22="","",IF(ISNUMBER($B22),$B22-$B$2,""))</f>
        <v/>
      </c>
      <c r="D22" s="23">
        <f>IF($J22="","",INDEX('顧客一覧'!$A$5:$A$104,$J22))</f>
        <v/>
      </c>
      <c r="E22" s="19">
        <f>IF($J22="","",INDEX('顧客一覧'!$C$5:$C$104,$J22)&amp;"")</f>
        <v/>
      </c>
      <c r="F22" s="19">
        <f>IF($J22="","",INDEX('顧客一覧'!$L$5:$L$104,$J22)&amp;"")</f>
        <v/>
      </c>
      <c r="G22" s="23">
        <f>IF($J22="","",INDEX('顧客一覧'!$G$5:$G$104,$J22)&amp;"")</f>
        <v/>
      </c>
      <c r="H22" s="23">
        <f>IF($J22="","",INDEX('顧客一覧'!$H$5:$H$104,$J22)&amp;"")</f>
        <v/>
      </c>
      <c r="I22" s="22">
        <f>IF($J22="","",INDEX('顧客一覧'!$J$5:$J$104,$J22))</f>
        <v/>
      </c>
      <c r="J22" s="33">
        <f>IFERROR(MATCH(SMALL('顧客一覧'!$O$5:$O$104,18),'顧客一覧'!$O$5:$O$104,0),"")</f>
        <v/>
      </c>
    </row>
    <row r="23">
      <c r="A23" s="23">
        <f>IF($J23="","",19)</f>
        <v/>
      </c>
      <c r="B23" s="22">
        <f>IF($J23="","",IF(INDEX('顧客一覧'!$M$5:$M$104,$J23)="","期日未定",INDEX('顧客一覧'!$M$5:$M$104,$J23)))</f>
        <v/>
      </c>
      <c r="C23" s="26">
        <f>IF($J23="","",IF(ISNUMBER($B23),$B23-$B$2,""))</f>
        <v/>
      </c>
      <c r="D23" s="23">
        <f>IF($J23="","",INDEX('顧客一覧'!$A$5:$A$104,$J23))</f>
        <v/>
      </c>
      <c r="E23" s="19">
        <f>IF($J23="","",INDEX('顧客一覧'!$C$5:$C$104,$J23)&amp;"")</f>
        <v/>
      </c>
      <c r="F23" s="19">
        <f>IF($J23="","",INDEX('顧客一覧'!$L$5:$L$104,$J23)&amp;"")</f>
        <v/>
      </c>
      <c r="G23" s="23">
        <f>IF($J23="","",INDEX('顧客一覧'!$G$5:$G$104,$J23)&amp;"")</f>
        <v/>
      </c>
      <c r="H23" s="23">
        <f>IF($J23="","",INDEX('顧客一覧'!$H$5:$H$104,$J23)&amp;"")</f>
        <v/>
      </c>
      <c r="I23" s="22">
        <f>IF($J23="","",INDEX('顧客一覧'!$J$5:$J$104,$J23))</f>
        <v/>
      </c>
      <c r="J23" s="33">
        <f>IFERROR(MATCH(SMALL('顧客一覧'!$O$5:$O$104,19),'顧客一覧'!$O$5:$O$104,0),"")</f>
        <v/>
      </c>
    </row>
    <row r="24">
      <c r="A24" s="23">
        <f>IF($J24="","",20)</f>
        <v/>
      </c>
      <c r="B24" s="22">
        <f>IF($J24="","",IF(INDEX('顧客一覧'!$M$5:$M$104,$J24)="","期日未定",INDEX('顧客一覧'!$M$5:$M$104,$J24)))</f>
        <v/>
      </c>
      <c r="C24" s="26">
        <f>IF($J24="","",IF(ISNUMBER($B24),$B24-$B$2,""))</f>
        <v/>
      </c>
      <c r="D24" s="23">
        <f>IF($J24="","",INDEX('顧客一覧'!$A$5:$A$104,$J24))</f>
        <v/>
      </c>
      <c r="E24" s="19">
        <f>IF($J24="","",INDEX('顧客一覧'!$C$5:$C$104,$J24)&amp;"")</f>
        <v/>
      </c>
      <c r="F24" s="19">
        <f>IF($J24="","",INDEX('顧客一覧'!$L$5:$L$104,$J24)&amp;"")</f>
        <v/>
      </c>
      <c r="G24" s="23">
        <f>IF($J24="","",INDEX('顧客一覧'!$G$5:$G$104,$J24)&amp;"")</f>
        <v/>
      </c>
      <c r="H24" s="23">
        <f>IF($J24="","",INDEX('顧客一覧'!$H$5:$H$104,$J24)&amp;"")</f>
        <v/>
      </c>
      <c r="I24" s="22">
        <f>IF($J24="","",INDEX('顧客一覧'!$J$5:$J$104,$J24))</f>
        <v/>
      </c>
      <c r="J24" s="33">
        <f>IFERROR(MATCH(SMALL('顧客一覧'!$O$5:$O$104,20),'顧客一覧'!$O$5:$O$104,0),"")</f>
        <v/>
      </c>
    </row>
    <row r="25">
      <c r="A25" s="23">
        <f>IF($J25="","",21)</f>
        <v/>
      </c>
      <c r="B25" s="22">
        <f>IF($J25="","",IF(INDEX('顧客一覧'!$M$5:$M$104,$J25)="","期日未定",INDEX('顧客一覧'!$M$5:$M$104,$J25)))</f>
        <v/>
      </c>
      <c r="C25" s="26">
        <f>IF($J25="","",IF(ISNUMBER($B25),$B25-$B$2,""))</f>
        <v/>
      </c>
      <c r="D25" s="23">
        <f>IF($J25="","",INDEX('顧客一覧'!$A$5:$A$104,$J25))</f>
        <v/>
      </c>
      <c r="E25" s="19">
        <f>IF($J25="","",INDEX('顧客一覧'!$C$5:$C$104,$J25)&amp;"")</f>
        <v/>
      </c>
      <c r="F25" s="19">
        <f>IF($J25="","",INDEX('顧客一覧'!$L$5:$L$104,$J25)&amp;"")</f>
        <v/>
      </c>
      <c r="G25" s="23">
        <f>IF($J25="","",INDEX('顧客一覧'!$G$5:$G$104,$J25)&amp;"")</f>
        <v/>
      </c>
      <c r="H25" s="23">
        <f>IF($J25="","",INDEX('顧客一覧'!$H$5:$H$104,$J25)&amp;"")</f>
        <v/>
      </c>
      <c r="I25" s="22">
        <f>IF($J25="","",INDEX('顧客一覧'!$J$5:$J$104,$J25))</f>
        <v/>
      </c>
      <c r="J25" s="33">
        <f>IFERROR(MATCH(SMALL('顧客一覧'!$O$5:$O$104,21),'顧客一覧'!$O$5:$O$104,0),"")</f>
        <v/>
      </c>
    </row>
    <row r="26">
      <c r="A26" s="23">
        <f>IF($J26="","",22)</f>
        <v/>
      </c>
      <c r="B26" s="22">
        <f>IF($J26="","",IF(INDEX('顧客一覧'!$M$5:$M$104,$J26)="","期日未定",INDEX('顧客一覧'!$M$5:$M$104,$J26)))</f>
        <v/>
      </c>
      <c r="C26" s="26">
        <f>IF($J26="","",IF(ISNUMBER($B26),$B26-$B$2,""))</f>
        <v/>
      </c>
      <c r="D26" s="23">
        <f>IF($J26="","",INDEX('顧客一覧'!$A$5:$A$104,$J26))</f>
        <v/>
      </c>
      <c r="E26" s="19">
        <f>IF($J26="","",INDEX('顧客一覧'!$C$5:$C$104,$J26)&amp;"")</f>
        <v/>
      </c>
      <c r="F26" s="19">
        <f>IF($J26="","",INDEX('顧客一覧'!$L$5:$L$104,$J26)&amp;"")</f>
        <v/>
      </c>
      <c r="G26" s="23">
        <f>IF($J26="","",INDEX('顧客一覧'!$G$5:$G$104,$J26)&amp;"")</f>
        <v/>
      </c>
      <c r="H26" s="23">
        <f>IF($J26="","",INDEX('顧客一覧'!$H$5:$H$104,$J26)&amp;"")</f>
        <v/>
      </c>
      <c r="I26" s="22">
        <f>IF($J26="","",INDEX('顧客一覧'!$J$5:$J$104,$J26))</f>
        <v/>
      </c>
      <c r="J26" s="33">
        <f>IFERROR(MATCH(SMALL('顧客一覧'!$O$5:$O$104,22),'顧客一覧'!$O$5:$O$104,0),"")</f>
        <v/>
      </c>
    </row>
    <row r="27">
      <c r="A27" s="23">
        <f>IF($J27="","",23)</f>
        <v/>
      </c>
      <c r="B27" s="22">
        <f>IF($J27="","",IF(INDEX('顧客一覧'!$M$5:$M$104,$J27)="","期日未定",INDEX('顧客一覧'!$M$5:$M$104,$J27)))</f>
        <v/>
      </c>
      <c r="C27" s="26">
        <f>IF($J27="","",IF(ISNUMBER($B27),$B27-$B$2,""))</f>
        <v/>
      </c>
      <c r="D27" s="23">
        <f>IF($J27="","",INDEX('顧客一覧'!$A$5:$A$104,$J27))</f>
        <v/>
      </c>
      <c r="E27" s="19">
        <f>IF($J27="","",INDEX('顧客一覧'!$C$5:$C$104,$J27)&amp;"")</f>
        <v/>
      </c>
      <c r="F27" s="19">
        <f>IF($J27="","",INDEX('顧客一覧'!$L$5:$L$104,$J27)&amp;"")</f>
        <v/>
      </c>
      <c r="G27" s="23">
        <f>IF($J27="","",INDEX('顧客一覧'!$G$5:$G$104,$J27)&amp;"")</f>
        <v/>
      </c>
      <c r="H27" s="23">
        <f>IF($J27="","",INDEX('顧客一覧'!$H$5:$H$104,$J27)&amp;"")</f>
        <v/>
      </c>
      <c r="I27" s="22">
        <f>IF($J27="","",INDEX('顧客一覧'!$J$5:$J$104,$J27))</f>
        <v/>
      </c>
      <c r="J27" s="33">
        <f>IFERROR(MATCH(SMALL('顧客一覧'!$O$5:$O$104,23),'顧客一覧'!$O$5:$O$104,0),"")</f>
        <v/>
      </c>
    </row>
    <row r="28">
      <c r="A28" s="23">
        <f>IF($J28="","",24)</f>
        <v/>
      </c>
      <c r="B28" s="22">
        <f>IF($J28="","",IF(INDEX('顧客一覧'!$M$5:$M$104,$J28)="","期日未定",INDEX('顧客一覧'!$M$5:$M$104,$J28)))</f>
        <v/>
      </c>
      <c r="C28" s="26">
        <f>IF($J28="","",IF(ISNUMBER($B28),$B28-$B$2,""))</f>
        <v/>
      </c>
      <c r="D28" s="23">
        <f>IF($J28="","",INDEX('顧客一覧'!$A$5:$A$104,$J28))</f>
        <v/>
      </c>
      <c r="E28" s="19">
        <f>IF($J28="","",INDEX('顧客一覧'!$C$5:$C$104,$J28)&amp;"")</f>
        <v/>
      </c>
      <c r="F28" s="19">
        <f>IF($J28="","",INDEX('顧客一覧'!$L$5:$L$104,$J28)&amp;"")</f>
        <v/>
      </c>
      <c r="G28" s="23">
        <f>IF($J28="","",INDEX('顧客一覧'!$G$5:$G$104,$J28)&amp;"")</f>
        <v/>
      </c>
      <c r="H28" s="23">
        <f>IF($J28="","",INDEX('顧客一覧'!$H$5:$H$104,$J28)&amp;"")</f>
        <v/>
      </c>
      <c r="I28" s="22">
        <f>IF($J28="","",INDEX('顧客一覧'!$J$5:$J$104,$J28))</f>
        <v/>
      </c>
      <c r="J28" s="33">
        <f>IFERROR(MATCH(SMALL('顧客一覧'!$O$5:$O$104,24),'顧客一覧'!$O$5:$O$104,0),"")</f>
        <v/>
      </c>
    </row>
    <row r="29">
      <c r="A29" s="23">
        <f>IF($J29="","",25)</f>
        <v/>
      </c>
      <c r="B29" s="22">
        <f>IF($J29="","",IF(INDEX('顧客一覧'!$M$5:$M$104,$J29)="","期日未定",INDEX('顧客一覧'!$M$5:$M$104,$J29)))</f>
        <v/>
      </c>
      <c r="C29" s="26">
        <f>IF($J29="","",IF(ISNUMBER($B29),$B29-$B$2,""))</f>
        <v/>
      </c>
      <c r="D29" s="23">
        <f>IF($J29="","",INDEX('顧客一覧'!$A$5:$A$104,$J29))</f>
        <v/>
      </c>
      <c r="E29" s="19">
        <f>IF($J29="","",INDEX('顧客一覧'!$C$5:$C$104,$J29)&amp;"")</f>
        <v/>
      </c>
      <c r="F29" s="19">
        <f>IF($J29="","",INDEX('顧客一覧'!$L$5:$L$104,$J29)&amp;"")</f>
        <v/>
      </c>
      <c r="G29" s="23">
        <f>IF($J29="","",INDEX('顧客一覧'!$G$5:$G$104,$J29)&amp;"")</f>
        <v/>
      </c>
      <c r="H29" s="23">
        <f>IF($J29="","",INDEX('顧客一覧'!$H$5:$H$104,$J29)&amp;"")</f>
        <v/>
      </c>
      <c r="I29" s="22">
        <f>IF($J29="","",INDEX('顧客一覧'!$J$5:$J$104,$J29))</f>
        <v/>
      </c>
      <c r="J29" s="33">
        <f>IFERROR(MATCH(SMALL('顧客一覧'!$O$5:$O$104,25),'顧客一覧'!$O$5:$O$104,0),"")</f>
        <v/>
      </c>
    </row>
    <row r="30">
      <c r="A30" s="23">
        <f>IF($J30="","",26)</f>
        <v/>
      </c>
      <c r="B30" s="22">
        <f>IF($J30="","",IF(INDEX('顧客一覧'!$M$5:$M$104,$J30)="","期日未定",INDEX('顧客一覧'!$M$5:$M$104,$J30)))</f>
        <v/>
      </c>
      <c r="C30" s="26">
        <f>IF($J30="","",IF(ISNUMBER($B30),$B30-$B$2,""))</f>
        <v/>
      </c>
      <c r="D30" s="23">
        <f>IF($J30="","",INDEX('顧客一覧'!$A$5:$A$104,$J30))</f>
        <v/>
      </c>
      <c r="E30" s="19">
        <f>IF($J30="","",INDEX('顧客一覧'!$C$5:$C$104,$J30)&amp;"")</f>
        <v/>
      </c>
      <c r="F30" s="19">
        <f>IF($J30="","",INDEX('顧客一覧'!$L$5:$L$104,$J30)&amp;"")</f>
        <v/>
      </c>
      <c r="G30" s="23">
        <f>IF($J30="","",INDEX('顧客一覧'!$G$5:$G$104,$J30)&amp;"")</f>
        <v/>
      </c>
      <c r="H30" s="23">
        <f>IF($J30="","",INDEX('顧客一覧'!$H$5:$H$104,$J30)&amp;"")</f>
        <v/>
      </c>
      <c r="I30" s="22">
        <f>IF($J30="","",INDEX('顧客一覧'!$J$5:$J$104,$J30))</f>
        <v/>
      </c>
      <c r="J30" s="33">
        <f>IFERROR(MATCH(SMALL('顧客一覧'!$O$5:$O$104,26),'顧客一覧'!$O$5:$O$104,0),"")</f>
        <v/>
      </c>
    </row>
    <row r="31">
      <c r="A31" s="23">
        <f>IF($J31="","",27)</f>
        <v/>
      </c>
      <c r="B31" s="22">
        <f>IF($J31="","",IF(INDEX('顧客一覧'!$M$5:$M$104,$J31)="","期日未定",INDEX('顧客一覧'!$M$5:$M$104,$J31)))</f>
        <v/>
      </c>
      <c r="C31" s="26">
        <f>IF($J31="","",IF(ISNUMBER($B31),$B31-$B$2,""))</f>
        <v/>
      </c>
      <c r="D31" s="23">
        <f>IF($J31="","",INDEX('顧客一覧'!$A$5:$A$104,$J31))</f>
        <v/>
      </c>
      <c r="E31" s="19">
        <f>IF($J31="","",INDEX('顧客一覧'!$C$5:$C$104,$J31)&amp;"")</f>
        <v/>
      </c>
      <c r="F31" s="19">
        <f>IF($J31="","",INDEX('顧客一覧'!$L$5:$L$104,$J31)&amp;"")</f>
        <v/>
      </c>
      <c r="G31" s="23">
        <f>IF($J31="","",INDEX('顧客一覧'!$G$5:$G$104,$J31)&amp;"")</f>
        <v/>
      </c>
      <c r="H31" s="23">
        <f>IF($J31="","",INDEX('顧客一覧'!$H$5:$H$104,$J31)&amp;"")</f>
        <v/>
      </c>
      <c r="I31" s="22">
        <f>IF($J31="","",INDEX('顧客一覧'!$J$5:$J$104,$J31))</f>
        <v/>
      </c>
      <c r="J31" s="33">
        <f>IFERROR(MATCH(SMALL('顧客一覧'!$O$5:$O$104,27),'顧客一覧'!$O$5:$O$104,0),"")</f>
        <v/>
      </c>
    </row>
    <row r="32">
      <c r="A32" s="23">
        <f>IF($J32="","",28)</f>
        <v/>
      </c>
      <c r="B32" s="22">
        <f>IF($J32="","",IF(INDEX('顧客一覧'!$M$5:$M$104,$J32)="","期日未定",INDEX('顧客一覧'!$M$5:$M$104,$J32)))</f>
        <v/>
      </c>
      <c r="C32" s="26">
        <f>IF($J32="","",IF(ISNUMBER($B32),$B32-$B$2,""))</f>
        <v/>
      </c>
      <c r="D32" s="23">
        <f>IF($J32="","",INDEX('顧客一覧'!$A$5:$A$104,$J32))</f>
        <v/>
      </c>
      <c r="E32" s="19">
        <f>IF($J32="","",INDEX('顧客一覧'!$C$5:$C$104,$J32)&amp;"")</f>
        <v/>
      </c>
      <c r="F32" s="19">
        <f>IF($J32="","",INDEX('顧客一覧'!$L$5:$L$104,$J32)&amp;"")</f>
        <v/>
      </c>
      <c r="G32" s="23">
        <f>IF($J32="","",INDEX('顧客一覧'!$G$5:$G$104,$J32)&amp;"")</f>
        <v/>
      </c>
      <c r="H32" s="23">
        <f>IF($J32="","",INDEX('顧客一覧'!$H$5:$H$104,$J32)&amp;"")</f>
        <v/>
      </c>
      <c r="I32" s="22">
        <f>IF($J32="","",INDEX('顧客一覧'!$J$5:$J$104,$J32))</f>
        <v/>
      </c>
      <c r="J32" s="33">
        <f>IFERROR(MATCH(SMALL('顧客一覧'!$O$5:$O$104,28),'顧客一覧'!$O$5:$O$104,0),"")</f>
        <v/>
      </c>
    </row>
    <row r="33">
      <c r="A33" s="23">
        <f>IF($J33="","",29)</f>
        <v/>
      </c>
      <c r="B33" s="22">
        <f>IF($J33="","",IF(INDEX('顧客一覧'!$M$5:$M$104,$J33)="","期日未定",INDEX('顧客一覧'!$M$5:$M$104,$J33)))</f>
        <v/>
      </c>
      <c r="C33" s="26">
        <f>IF($J33="","",IF(ISNUMBER($B33),$B33-$B$2,""))</f>
        <v/>
      </c>
      <c r="D33" s="23">
        <f>IF($J33="","",INDEX('顧客一覧'!$A$5:$A$104,$J33))</f>
        <v/>
      </c>
      <c r="E33" s="19">
        <f>IF($J33="","",INDEX('顧客一覧'!$C$5:$C$104,$J33)&amp;"")</f>
        <v/>
      </c>
      <c r="F33" s="19">
        <f>IF($J33="","",INDEX('顧客一覧'!$L$5:$L$104,$J33)&amp;"")</f>
        <v/>
      </c>
      <c r="G33" s="23">
        <f>IF($J33="","",INDEX('顧客一覧'!$G$5:$G$104,$J33)&amp;"")</f>
        <v/>
      </c>
      <c r="H33" s="23">
        <f>IF($J33="","",INDEX('顧客一覧'!$H$5:$H$104,$J33)&amp;"")</f>
        <v/>
      </c>
      <c r="I33" s="22">
        <f>IF($J33="","",INDEX('顧客一覧'!$J$5:$J$104,$J33))</f>
        <v/>
      </c>
      <c r="J33" s="33">
        <f>IFERROR(MATCH(SMALL('顧客一覧'!$O$5:$O$104,29),'顧客一覧'!$O$5:$O$104,0),"")</f>
        <v/>
      </c>
    </row>
    <row r="34">
      <c r="A34" s="23">
        <f>IF($J34="","",30)</f>
        <v/>
      </c>
      <c r="B34" s="22">
        <f>IF($J34="","",IF(INDEX('顧客一覧'!$M$5:$M$104,$J34)="","期日未定",INDEX('顧客一覧'!$M$5:$M$104,$J34)))</f>
        <v/>
      </c>
      <c r="C34" s="26">
        <f>IF($J34="","",IF(ISNUMBER($B34),$B34-$B$2,""))</f>
        <v/>
      </c>
      <c r="D34" s="23">
        <f>IF($J34="","",INDEX('顧客一覧'!$A$5:$A$104,$J34))</f>
        <v/>
      </c>
      <c r="E34" s="19">
        <f>IF($J34="","",INDEX('顧客一覧'!$C$5:$C$104,$J34)&amp;"")</f>
        <v/>
      </c>
      <c r="F34" s="19">
        <f>IF($J34="","",INDEX('顧客一覧'!$L$5:$L$104,$J34)&amp;"")</f>
        <v/>
      </c>
      <c r="G34" s="23">
        <f>IF($J34="","",INDEX('顧客一覧'!$G$5:$G$104,$J34)&amp;"")</f>
        <v/>
      </c>
      <c r="H34" s="23">
        <f>IF($J34="","",INDEX('顧客一覧'!$H$5:$H$104,$J34)&amp;"")</f>
        <v/>
      </c>
      <c r="I34" s="22">
        <f>IF($J34="","",INDEX('顧客一覧'!$J$5:$J$104,$J34))</f>
        <v/>
      </c>
      <c r="J34" s="33">
        <f>IFERROR(MATCH(SMALL('顧客一覧'!$O$5:$O$104,30),'顧客一覧'!$O$5:$O$104,0),"")</f>
        <v/>
      </c>
    </row>
    <row r="35">
      <c r="A35" s="23">
        <f>IF($J35="","",31)</f>
        <v/>
      </c>
      <c r="B35" s="22">
        <f>IF($J35="","",IF(INDEX('顧客一覧'!$M$5:$M$104,$J35)="","期日未定",INDEX('顧客一覧'!$M$5:$M$104,$J35)))</f>
        <v/>
      </c>
      <c r="C35" s="26">
        <f>IF($J35="","",IF(ISNUMBER($B35),$B35-$B$2,""))</f>
        <v/>
      </c>
      <c r="D35" s="23">
        <f>IF($J35="","",INDEX('顧客一覧'!$A$5:$A$104,$J35))</f>
        <v/>
      </c>
      <c r="E35" s="19">
        <f>IF($J35="","",INDEX('顧客一覧'!$C$5:$C$104,$J35)&amp;"")</f>
        <v/>
      </c>
      <c r="F35" s="19">
        <f>IF($J35="","",INDEX('顧客一覧'!$L$5:$L$104,$J35)&amp;"")</f>
        <v/>
      </c>
      <c r="G35" s="23">
        <f>IF($J35="","",INDEX('顧客一覧'!$G$5:$G$104,$J35)&amp;"")</f>
        <v/>
      </c>
      <c r="H35" s="23">
        <f>IF($J35="","",INDEX('顧客一覧'!$H$5:$H$104,$J35)&amp;"")</f>
        <v/>
      </c>
      <c r="I35" s="22">
        <f>IF($J35="","",INDEX('顧客一覧'!$J$5:$J$104,$J35))</f>
        <v/>
      </c>
      <c r="J35" s="33">
        <f>IFERROR(MATCH(SMALL('顧客一覧'!$O$5:$O$104,31),'顧客一覧'!$O$5:$O$104,0),"")</f>
        <v/>
      </c>
    </row>
    <row r="36">
      <c r="A36" s="23">
        <f>IF($J36="","",32)</f>
        <v/>
      </c>
      <c r="B36" s="22">
        <f>IF($J36="","",IF(INDEX('顧客一覧'!$M$5:$M$104,$J36)="","期日未定",INDEX('顧客一覧'!$M$5:$M$104,$J36)))</f>
        <v/>
      </c>
      <c r="C36" s="26">
        <f>IF($J36="","",IF(ISNUMBER($B36),$B36-$B$2,""))</f>
        <v/>
      </c>
      <c r="D36" s="23">
        <f>IF($J36="","",INDEX('顧客一覧'!$A$5:$A$104,$J36))</f>
        <v/>
      </c>
      <c r="E36" s="19">
        <f>IF($J36="","",INDEX('顧客一覧'!$C$5:$C$104,$J36)&amp;"")</f>
        <v/>
      </c>
      <c r="F36" s="19">
        <f>IF($J36="","",INDEX('顧客一覧'!$L$5:$L$104,$J36)&amp;"")</f>
        <v/>
      </c>
      <c r="G36" s="23">
        <f>IF($J36="","",INDEX('顧客一覧'!$G$5:$G$104,$J36)&amp;"")</f>
        <v/>
      </c>
      <c r="H36" s="23">
        <f>IF($J36="","",INDEX('顧客一覧'!$H$5:$H$104,$J36)&amp;"")</f>
        <v/>
      </c>
      <c r="I36" s="22">
        <f>IF($J36="","",INDEX('顧客一覧'!$J$5:$J$104,$J36))</f>
        <v/>
      </c>
      <c r="J36" s="33">
        <f>IFERROR(MATCH(SMALL('顧客一覧'!$O$5:$O$104,32),'顧客一覧'!$O$5:$O$104,0),"")</f>
        <v/>
      </c>
    </row>
    <row r="37">
      <c r="A37" s="23">
        <f>IF($J37="","",33)</f>
        <v/>
      </c>
      <c r="B37" s="22">
        <f>IF($J37="","",IF(INDEX('顧客一覧'!$M$5:$M$104,$J37)="","期日未定",INDEX('顧客一覧'!$M$5:$M$104,$J37)))</f>
        <v/>
      </c>
      <c r="C37" s="26">
        <f>IF($J37="","",IF(ISNUMBER($B37),$B37-$B$2,""))</f>
        <v/>
      </c>
      <c r="D37" s="23">
        <f>IF($J37="","",INDEX('顧客一覧'!$A$5:$A$104,$J37))</f>
        <v/>
      </c>
      <c r="E37" s="19">
        <f>IF($J37="","",INDEX('顧客一覧'!$C$5:$C$104,$J37)&amp;"")</f>
        <v/>
      </c>
      <c r="F37" s="19">
        <f>IF($J37="","",INDEX('顧客一覧'!$L$5:$L$104,$J37)&amp;"")</f>
        <v/>
      </c>
      <c r="G37" s="23">
        <f>IF($J37="","",INDEX('顧客一覧'!$G$5:$G$104,$J37)&amp;"")</f>
        <v/>
      </c>
      <c r="H37" s="23">
        <f>IF($J37="","",INDEX('顧客一覧'!$H$5:$H$104,$J37)&amp;"")</f>
        <v/>
      </c>
      <c r="I37" s="22">
        <f>IF($J37="","",INDEX('顧客一覧'!$J$5:$J$104,$J37))</f>
        <v/>
      </c>
      <c r="J37" s="33">
        <f>IFERROR(MATCH(SMALL('顧客一覧'!$O$5:$O$104,33),'顧客一覧'!$O$5:$O$104,0),"")</f>
        <v/>
      </c>
    </row>
    <row r="38">
      <c r="A38" s="23">
        <f>IF($J38="","",34)</f>
        <v/>
      </c>
      <c r="B38" s="22">
        <f>IF($J38="","",IF(INDEX('顧客一覧'!$M$5:$M$104,$J38)="","期日未定",INDEX('顧客一覧'!$M$5:$M$104,$J38)))</f>
        <v/>
      </c>
      <c r="C38" s="26">
        <f>IF($J38="","",IF(ISNUMBER($B38),$B38-$B$2,""))</f>
        <v/>
      </c>
      <c r="D38" s="23">
        <f>IF($J38="","",INDEX('顧客一覧'!$A$5:$A$104,$J38))</f>
        <v/>
      </c>
      <c r="E38" s="19">
        <f>IF($J38="","",INDEX('顧客一覧'!$C$5:$C$104,$J38)&amp;"")</f>
        <v/>
      </c>
      <c r="F38" s="19">
        <f>IF($J38="","",INDEX('顧客一覧'!$L$5:$L$104,$J38)&amp;"")</f>
        <v/>
      </c>
      <c r="G38" s="23">
        <f>IF($J38="","",INDEX('顧客一覧'!$G$5:$G$104,$J38)&amp;"")</f>
        <v/>
      </c>
      <c r="H38" s="23">
        <f>IF($J38="","",INDEX('顧客一覧'!$H$5:$H$104,$J38)&amp;"")</f>
        <v/>
      </c>
      <c r="I38" s="22">
        <f>IF($J38="","",INDEX('顧客一覧'!$J$5:$J$104,$J38))</f>
        <v/>
      </c>
      <c r="J38" s="33">
        <f>IFERROR(MATCH(SMALL('顧客一覧'!$O$5:$O$104,34),'顧客一覧'!$O$5:$O$104,0),"")</f>
        <v/>
      </c>
    </row>
    <row r="39">
      <c r="A39" s="23">
        <f>IF($J39="","",35)</f>
        <v/>
      </c>
      <c r="B39" s="22">
        <f>IF($J39="","",IF(INDEX('顧客一覧'!$M$5:$M$104,$J39)="","期日未定",INDEX('顧客一覧'!$M$5:$M$104,$J39)))</f>
        <v/>
      </c>
      <c r="C39" s="26">
        <f>IF($J39="","",IF(ISNUMBER($B39),$B39-$B$2,""))</f>
        <v/>
      </c>
      <c r="D39" s="23">
        <f>IF($J39="","",INDEX('顧客一覧'!$A$5:$A$104,$J39))</f>
        <v/>
      </c>
      <c r="E39" s="19">
        <f>IF($J39="","",INDEX('顧客一覧'!$C$5:$C$104,$J39)&amp;"")</f>
        <v/>
      </c>
      <c r="F39" s="19">
        <f>IF($J39="","",INDEX('顧客一覧'!$L$5:$L$104,$J39)&amp;"")</f>
        <v/>
      </c>
      <c r="G39" s="23">
        <f>IF($J39="","",INDEX('顧客一覧'!$G$5:$G$104,$J39)&amp;"")</f>
        <v/>
      </c>
      <c r="H39" s="23">
        <f>IF($J39="","",INDEX('顧客一覧'!$H$5:$H$104,$J39)&amp;"")</f>
        <v/>
      </c>
      <c r="I39" s="22">
        <f>IF($J39="","",INDEX('顧客一覧'!$J$5:$J$104,$J39))</f>
        <v/>
      </c>
      <c r="J39" s="33">
        <f>IFERROR(MATCH(SMALL('顧客一覧'!$O$5:$O$104,35),'顧客一覧'!$O$5:$O$104,0),"")</f>
        <v/>
      </c>
    </row>
    <row r="40">
      <c r="A40" s="23">
        <f>IF($J40="","",36)</f>
        <v/>
      </c>
      <c r="B40" s="22">
        <f>IF($J40="","",IF(INDEX('顧客一覧'!$M$5:$M$104,$J40)="","期日未定",INDEX('顧客一覧'!$M$5:$M$104,$J40)))</f>
        <v/>
      </c>
      <c r="C40" s="26">
        <f>IF($J40="","",IF(ISNUMBER($B40),$B40-$B$2,""))</f>
        <v/>
      </c>
      <c r="D40" s="23">
        <f>IF($J40="","",INDEX('顧客一覧'!$A$5:$A$104,$J40))</f>
        <v/>
      </c>
      <c r="E40" s="19">
        <f>IF($J40="","",INDEX('顧客一覧'!$C$5:$C$104,$J40)&amp;"")</f>
        <v/>
      </c>
      <c r="F40" s="19">
        <f>IF($J40="","",INDEX('顧客一覧'!$L$5:$L$104,$J40)&amp;"")</f>
        <v/>
      </c>
      <c r="G40" s="23">
        <f>IF($J40="","",INDEX('顧客一覧'!$G$5:$G$104,$J40)&amp;"")</f>
        <v/>
      </c>
      <c r="H40" s="23">
        <f>IF($J40="","",INDEX('顧客一覧'!$H$5:$H$104,$J40)&amp;"")</f>
        <v/>
      </c>
      <c r="I40" s="22">
        <f>IF($J40="","",INDEX('顧客一覧'!$J$5:$J$104,$J40))</f>
        <v/>
      </c>
      <c r="J40" s="33">
        <f>IFERROR(MATCH(SMALL('顧客一覧'!$O$5:$O$104,36),'顧客一覧'!$O$5:$O$104,0),"")</f>
        <v/>
      </c>
    </row>
    <row r="41">
      <c r="A41" s="23">
        <f>IF($J41="","",37)</f>
        <v/>
      </c>
      <c r="B41" s="22">
        <f>IF($J41="","",IF(INDEX('顧客一覧'!$M$5:$M$104,$J41)="","期日未定",INDEX('顧客一覧'!$M$5:$M$104,$J41)))</f>
        <v/>
      </c>
      <c r="C41" s="26">
        <f>IF($J41="","",IF(ISNUMBER($B41),$B41-$B$2,""))</f>
        <v/>
      </c>
      <c r="D41" s="23">
        <f>IF($J41="","",INDEX('顧客一覧'!$A$5:$A$104,$J41))</f>
        <v/>
      </c>
      <c r="E41" s="19">
        <f>IF($J41="","",INDEX('顧客一覧'!$C$5:$C$104,$J41)&amp;"")</f>
        <v/>
      </c>
      <c r="F41" s="19">
        <f>IF($J41="","",INDEX('顧客一覧'!$L$5:$L$104,$J41)&amp;"")</f>
        <v/>
      </c>
      <c r="G41" s="23">
        <f>IF($J41="","",INDEX('顧客一覧'!$G$5:$G$104,$J41)&amp;"")</f>
        <v/>
      </c>
      <c r="H41" s="23">
        <f>IF($J41="","",INDEX('顧客一覧'!$H$5:$H$104,$J41)&amp;"")</f>
        <v/>
      </c>
      <c r="I41" s="22">
        <f>IF($J41="","",INDEX('顧客一覧'!$J$5:$J$104,$J41))</f>
        <v/>
      </c>
      <c r="J41" s="33">
        <f>IFERROR(MATCH(SMALL('顧客一覧'!$O$5:$O$104,37),'顧客一覧'!$O$5:$O$104,0),"")</f>
        <v/>
      </c>
    </row>
    <row r="42">
      <c r="A42" s="23">
        <f>IF($J42="","",38)</f>
        <v/>
      </c>
      <c r="B42" s="22">
        <f>IF($J42="","",IF(INDEX('顧客一覧'!$M$5:$M$104,$J42)="","期日未定",INDEX('顧客一覧'!$M$5:$M$104,$J42)))</f>
        <v/>
      </c>
      <c r="C42" s="26">
        <f>IF($J42="","",IF(ISNUMBER($B42),$B42-$B$2,""))</f>
        <v/>
      </c>
      <c r="D42" s="23">
        <f>IF($J42="","",INDEX('顧客一覧'!$A$5:$A$104,$J42))</f>
        <v/>
      </c>
      <c r="E42" s="19">
        <f>IF($J42="","",INDEX('顧客一覧'!$C$5:$C$104,$J42)&amp;"")</f>
        <v/>
      </c>
      <c r="F42" s="19">
        <f>IF($J42="","",INDEX('顧客一覧'!$L$5:$L$104,$J42)&amp;"")</f>
        <v/>
      </c>
      <c r="G42" s="23">
        <f>IF($J42="","",INDEX('顧客一覧'!$G$5:$G$104,$J42)&amp;"")</f>
        <v/>
      </c>
      <c r="H42" s="23">
        <f>IF($J42="","",INDEX('顧客一覧'!$H$5:$H$104,$J42)&amp;"")</f>
        <v/>
      </c>
      <c r="I42" s="22">
        <f>IF($J42="","",INDEX('顧客一覧'!$J$5:$J$104,$J42))</f>
        <v/>
      </c>
      <c r="J42" s="33">
        <f>IFERROR(MATCH(SMALL('顧客一覧'!$O$5:$O$104,38),'顧客一覧'!$O$5:$O$104,0),"")</f>
        <v/>
      </c>
    </row>
    <row r="43">
      <c r="A43" s="23">
        <f>IF($J43="","",39)</f>
        <v/>
      </c>
      <c r="B43" s="22">
        <f>IF($J43="","",IF(INDEX('顧客一覧'!$M$5:$M$104,$J43)="","期日未定",INDEX('顧客一覧'!$M$5:$M$104,$J43)))</f>
        <v/>
      </c>
      <c r="C43" s="26">
        <f>IF($J43="","",IF(ISNUMBER($B43),$B43-$B$2,""))</f>
        <v/>
      </c>
      <c r="D43" s="23">
        <f>IF($J43="","",INDEX('顧客一覧'!$A$5:$A$104,$J43))</f>
        <v/>
      </c>
      <c r="E43" s="19">
        <f>IF($J43="","",INDEX('顧客一覧'!$C$5:$C$104,$J43)&amp;"")</f>
        <v/>
      </c>
      <c r="F43" s="19">
        <f>IF($J43="","",INDEX('顧客一覧'!$L$5:$L$104,$J43)&amp;"")</f>
        <v/>
      </c>
      <c r="G43" s="23">
        <f>IF($J43="","",INDEX('顧客一覧'!$G$5:$G$104,$J43)&amp;"")</f>
        <v/>
      </c>
      <c r="H43" s="23">
        <f>IF($J43="","",INDEX('顧客一覧'!$H$5:$H$104,$J43)&amp;"")</f>
        <v/>
      </c>
      <c r="I43" s="22">
        <f>IF($J43="","",INDEX('顧客一覧'!$J$5:$J$104,$J43))</f>
        <v/>
      </c>
      <c r="J43" s="33">
        <f>IFERROR(MATCH(SMALL('顧客一覧'!$O$5:$O$104,39),'顧客一覧'!$O$5:$O$104,0),"")</f>
        <v/>
      </c>
    </row>
    <row r="44">
      <c r="A44" s="23">
        <f>IF($J44="","",40)</f>
        <v/>
      </c>
      <c r="B44" s="22">
        <f>IF($J44="","",IF(INDEX('顧客一覧'!$M$5:$M$104,$J44)="","期日未定",INDEX('顧客一覧'!$M$5:$M$104,$J44)))</f>
        <v/>
      </c>
      <c r="C44" s="26">
        <f>IF($J44="","",IF(ISNUMBER($B44),$B44-$B$2,""))</f>
        <v/>
      </c>
      <c r="D44" s="23">
        <f>IF($J44="","",INDEX('顧客一覧'!$A$5:$A$104,$J44))</f>
        <v/>
      </c>
      <c r="E44" s="19">
        <f>IF($J44="","",INDEX('顧客一覧'!$C$5:$C$104,$J44)&amp;"")</f>
        <v/>
      </c>
      <c r="F44" s="19">
        <f>IF($J44="","",INDEX('顧客一覧'!$L$5:$L$104,$J44)&amp;"")</f>
        <v/>
      </c>
      <c r="G44" s="23">
        <f>IF($J44="","",INDEX('顧客一覧'!$G$5:$G$104,$J44)&amp;"")</f>
        <v/>
      </c>
      <c r="H44" s="23">
        <f>IF($J44="","",INDEX('顧客一覧'!$H$5:$H$104,$J44)&amp;"")</f>
        <v/>
      </c>
      <c r="I44" s="22">
        <f>IF($J44="","",INDEX('顧客一覧'!$J$5:$J$104,$J44))</f>
        <v/>
      </c>
      <c r="J44" s="33">
        <f>IFERROR(MATCH(SMALL('顧客一覧'!$O$5:$O$104,40),'顧客一覧'!$O$5:$O$104,0),"")</f>
        <v/>
      </c>
    </row>
    <row r="45">
      <c r="A45" s="23">
        <f>IF($J45="","",41)</f>
        <v/>
      </c>
      <c r="B45" s="22">
        <f>IF($J45="","",IF(INDEX('顧客一覧'!$M$5:$M$104,$J45)="","期日未定",INDEX('顧客一覧'!$M$5:$M$104,$J45)))</f>
        <v/>
      </c>
      <c r="C45" s="26">
        <f>IF($J45="","",IF(ISNUMBER($B45),$B45-$B$2,""))</f>
        <v/>
      </c>
      <c r="D45" s="23">
        <f>IF($J45="","",INDEX('顧客一覧'!$A$5:$A$104,$J45))</f>
        <v/>
      </c>
      <c r="E45" s="19">
        <f>IF($J45="","",INDEX('顧客一覧'!$C$5:$C$104,$J45)&amp;"")</f>
        <v/>
      </c>
      <c r="F45" s="19">
        <f>IF($J45="","",INDEX('顧客一覧'!$L$5:$L$104,$J45)&amp;"")</f>
        <v/>
      </c>
      <c r="G45" s="23">
        <f>IF($J45="","",INDEX('顧客一覧'!$G$5:$G$104,$J45)&amp;"")</f>
        <v/>
      </c>
      <c r="H45" s="23">
        <f>IF($J45="","",INDEX('顧客一覧'!$H$5:$H$104,$J45)&amp;"")</f>
        <v/>
      </c>
      <c r="I45" s="22">
        <f>IF($J45="","",INDEX('顧客一覧'!$J$5:$J$104,$J45))</f>
        <v/>
      </c>
      <c r="J45" s="33">
        <f>IFERROR(MATCH(SMALL('顧客一覧'!$O$5:$O$104,41),'顧客一覧'!$O$5:$O$104,0),"")</f>
        <v/>
      </c>
    </row>
    <row r="46">
      <c r="A46" s="23">
        <f>IF($J46="","",42)</f>
        <v/>
      </c>
      <c r="B46" s="22">
        <f>IF($J46="","",IF(INDEX('顧客一覧'!$M$5:$M$104,$J46)="","期日未定",INDEX('顧客一覧'!$M$5:$M$104,$J46)))</f>
        <v/>
      </c>
      <c r="C46" s="26">
        <f>IF($J46="","",IF(ISNUMBER($B46),$B46-$B$2,""))</f>
        <v/>
      </c>
      <c r="D46" s="23">
        <f>IF($J46="","",INDEX('顧客一覧'!$A$5:$A$104,$J46))</f>
        <v/>
      </c>
      <c r="E46" s="19">
        <f>IF($J46="","",INDEX('顧客一覧'!$C$5:$C$104,$J46)&amp;"")</f>
        <v/>
      </c>
      <c r="F46" s="19">
        <f>IF($J46="","",INDEX('顧客一覧'!$L$5:$L$104,$J46)&amp;"")</f>
        <v/>
      </c>
      <c r="G46" s="23">
        <f>IF($J46="","",INDEX('顧客一覧'!$G$5:$G$104,$J46)&amp;"")</f>
        <v/>
      </c>
      <c r="H46" s="23">
        <f>IF($J46="","",INDEX('顧客一覧'!$H$5:$H$104,$J46)&amp;"")</f>
        <v/>
      </c>
      <c r="I46" s="22">
        <f>IF($J46="","",INDEX('顧客一覧'!$J$5:$J$104,$J46))</f>
        <v/>
      </c>
      <c r="J46" s="33">
        <f>IFERROR(MATCH(SMALL('顧客一覧'!$O$5:$O$104,42),'顧客一覧'!$O$5:$O$104,0),"")</f>
        <v/>
      </c>
    </row>
    <row r="47">
      <c r="A47" s="23">
        <f>IF($J47="","",43)</f>
        <v/>
      </c>
      <c r="B47" s="22">
        <f>IF($J47="","",IF(INDEX('顧客一覧'!$M$5:$M$104,$J47)="","期日未定",INDEX('顧客一覧'!$M$5:$M$104,$J47)))</f>
        <v/>
      </c>
      <c r="C47" s="26">
        <f>IF($J47="","",IF(ISNUMBER($B47),$B47-$B$2,""))</f>
        <v/>
      </c>
      <c r="D47" s="23">
        <f>IF($J47="","",INDEX('顧客一覧'!$A$5:$A$104,$J47))</f>
        <v/>
      </c>
      <c r="E47" s="19">
        <f>IF($J47="","",INDEX('顧客一覧'!$C$5:$C$104,$J47)&amp;"")</f>
        <v/>
      </c>
      <c r="F47" s="19">
        <f>IF($J47="","",INDEX('顧客一覧'!$L$5:$L$104,$J47)&amp;"")</f>
        <v/>
      </c>
      <c r="G47" s="23">
        <f>IF($J47="","",INDEX('顧客一覧'!$G$5:$G$104,$J47)&amp;"")</f>
        <v/>
      </c>
      <c r="H47" s="23">
        <f>IF($J47="","",INDEX('顧客一覧'!$H$5:$H$104,$J47)&amp;"")</f>
        <v/>
      </c>
      <c r="I47" s="22">
        <f>IF($J47="","",INDEX('顧客一覧'!$J$5:$J$104,$J47))</f>
        <v/>
      </c>
      <c r="J47" s="33">
        <f>IFERROR(MATCH(SMALL('顧客一覧'!$O$5:$O$104,43),'顧客一覧'!$O$5:$O$104,0),"")</f>
        <v/>
      </c>
    </row>
    <row r="48">
      <c r="A48" s="23">
        <f>IF($J48="","",44)</f>
        <v/>
      </c>
      <c r="B48" s="22">
        <f>IF($J48="","",IF(INDEX('顧客一覧'!$M$5:$M$104,$J48)="","期日未定",INDEX('顧客一覧'!$M$5:$M$104,$J48)))</f>
        <v/>
      </c>
      <c r="C48" s="26">
        <f>IF($J48="","",IF(ISNUMBER($B48),$B48-$B$2,""))</f>
        <v/>
      </c>
      <c r="D48" s="23">
        <f>IF($J48="","",INDEX('顧客一覧'!$A$5:$A$104,$J48))</f>
        <v/>
      </c>
      <c r="E48" s="19">
        <f>IF($J48="","",INDEX('顧客一覧'!$C$5:$C$104,$J48)&amp;"")</f>
        <v/>
      </c>
      <c r="F48" s="19">
        <f>IF($J48="","",INDEX('顧客一覧'!$L$5:$L$104,$J48)&amp;"")</f>
        <v/>
      </c>
      <c r="G48" s="23">
        <f>IF($J48="","",INDEX('顧客一覧'!$G$5:$G$104,$J48)&amp;"")</f>
        <v/>
      </c>
      <c r="H48" s="23">
        <f>IF($J48="","",INDEX('顧客一覧'!$H$5:$H$104,$J48)&amp;"")</f>
        <v/>
      </c>
      <c r="I48" s="22">
        <f>IF($J48="","",INDEX('顧客一覧'!$J$5:$J$104,$J48))</f>
        <v/>
      </c>
      <c r="J48" s="33">
        <f>IFERROR(MATCH(SMALL('顧客一覧'!$O$5:$O$104,44),'顧客一覧'!$O$5:$O$104,0),"")</f>
        <v/>
      </c>
    </row>
    <row r="49">
      <c r="A49" s="23">
        <f>IF($J49="","",45)</f>
        <v/>
      </c>
      <c r="B49" s="22">
        <f>IF($J49="","",IF(INDEX('顧客一覧'!$M$5:$M$104,$J49)="","期日未定",INDEX('顧客一覧'!$M$5:$M$104,$J49)))</f>
        <v/>
      </c>
      <c r="C49" s="26">
        <f>IF($J49="","",IF(ISNUMBER($B49),$B49-$B$2,""))</f>
        <v/>
      </c>
      <c r="D49" s="23">
        <f>IF($J49="","",INDEX('顧客一覧'!$A$5:$A$104,$J49))</f>
        <v/>
      </c>
      <c r="E49" s="19">
        <f>IF($J49="","",INDEX('顧客一覧'!$C$5:$C$104,$J49)&amp;"")</f>
        <v/>
      </c>
      <c r="F49" s="19">
        <f>IF($J49="","",INDEX('顧客一覧'!$L$5:$L$104,$J49)&amp;"")</f>
        <v/>
      </c>
      <c r="G49" s="23">
        <f>IF($J49="","",INDEX('顧客一覧'!$G$5:$G$104,$J49)&amp;"")</f>
        <v/>
      </c>
      <c r="H49" s="23">
        <f>IF($J49="","",INDEX('顧客一覧'!$H$5:$H$104,$J49)&amp;"")</f>
        <v/>
      </c>
      <c r="I49" s="22">
        <f>IF($J49="","",INDEX('顧客一覧'!$J$5:$J$104,$J49))</f>
        <v/>
      </c>
      <c r="J49" s="33">
        <f>IFERROR(MATCH(SMALL('顧客一覧'!$O$5:$O$104,45),'顧客一覧'!$O$5:$O$104,0),"")</f>
        <v/>
      </c>
    </row>
    <row r="50">
      <c r="A50" s="23">
        <f>IF($J50="","",46)</f>
        <v/>
      </c>
      <c r="B50" s="22">
        <f>IF($J50="","",IF(INDEX('顧客一覧'!$M$5:$M$104,$J50)="","期日未定",INDEX('顧客一覧'!$M$5:$M$104,$J50)))</f>
        <v/>
      </c>
      <c r="C50" s="26">
        <f>IF($J50="","",IF(ISNUMBER($B50),$B50-$B$2,""))</f>
        <v/>
      </c>
      <c r="D50" s="23">
        <f>IF($J50="","",INDEX('顧客一覧'!$A$5:$A$104,$J50))</f>
        <v/>
      </c>
      <c r="E50" s="19">
        <f>IF($J50="","",INDEX('顧客一覧'!$C$5:$C$104,$J50)&amp;"")</f>
        <v/>
      </c>
      <c r="F50" s="19">
        <f>IF($J50="","",INDEX('顧客一覧'!$L$5:$L$104,$J50)&amp;"")</f>
        <v/>
      </c>
      <c r="G50" s="23">
        <f>IF($J50="","",INDEX('顧客一覧'!$G$5:$G$104,$J50)&amp;"")</f>
        <v/>
      </c>
      <c r="H50" s="23">
        <f>IF($J50="","",INDEX('顧客一覧'!$H$5:$H$104,$J50)&amp;"")</f>
        <v/>
      </c>
      <c r="I50" s="22">
        <f>IF($J50="","",INDEX('顧客一覧'!$J$5:$J$104,$J50))</f>
        <v/>
      </c>
      <c r="J50" s="33">
        <f>IFERROR(MATCH(SMALL('顧客一覧'!$O$5:$O$104,46),'顧客一覧'!$O$5:$O$104,0),"")</f>
        <v/>
      </c>
    </row>
    <row r="51">
      <c r="A51" s="23">
        <f>IF($J51="","",47)</f>
        <v/>
      </c>
      <c r="B51" s="22">
        <f>IF($J51="","",IF(INDEX('顧客一覧'!$M$5:$M$104,$J51)="","期日未定",INDEX('顧客一覧'!$M$5:$M$104,$J51)))</f>
        <v/>
      </c>
      <c r="C51" s="26">
        <f>IF($J51="","",IF(ISNUMBER($B51),$B51-$B$2,""))</f>
        <v/>
      </c>
      <c r="D51" s="23">
        <f>IF($J51="","",INDEX('顧客一覧'!$A$5:$A$104,$J51))</f>
        <v/>
      </c>
      <c r="E51" s="19">
        <f>IF($J51="","",INDEX('顧客一覧'!$C$5:$C$104,$J51)&amp;"")</f>
        <v/>
      </c>
      <c r="F51" s="19">
        <f>IF($J51="","",INDEX('顧客一覧'!$L$5:$L$104,$J51)&amp;"")</f>
        <v/>
      </c>
      <c r="G51" s="23">
        <f>IF($J51="","",INDEX('顧客一覧'!$G$5:$G$104,$J51)&amp;"")</f>
        <v/>
      </c>
      <c r="H51" s="23">
        <f>IF($J51="","",INDEX('顧客一覧'!$H$5:$H$104,$J51)&amp;"")</f>
        <v/>
      </c>
      <c r="I51" s="22">
        <f>IF($J51="","",INDEX('顧客一覧'!$J$5:$J$104,$J51))</f>
        <v/>
      </c>
      <c r="J51" s="33">
        <f>IFERROR(MATCH(SMALL('顧客一覧'!$O$5:$O$104,47),'顧客一覧'!$O$5:$O$104,0),"")</f>
        <v/>
      </c>
    </row>
    <row r="52">
      <c r="A52" s="23">
        <f>IF($J52="","",48)</f>
        <v/>
      </c>
      <c r="B52" s="22">
        <f>IF($J52="","",IF(INDEX('顧客一覧'!$M$5:$M$104,$J52)="","期日未定",INDEX('顧客一覧'!$M$5:$M$104,$J52)))</f>
        <v/>
      </c>
      <c r="C52" s="26">
        <f>IF($J52="","",IF(ISNUMBER($B52),$B52-$B$2,""))</f>
        <v/>
      </c>
      <c r="D52" s="23">
        <f>IF($J52="","",INDEX('顧客一覧'!$A$5:$A$104,$J52))</f>
        <v/>
      </c>
      <c r="E52" s="19">
        <f>IF($J52="","",INDEX('顧客一覧'!$C$5:$C$104,$J52)&amp;"")</f>
        <v/>
      </c>
      <c r="F52" s="19">
        <f>IF($J52="","",INDEX('顧客一覧'!$L$5:$L$104,$J52)&amp;"")</f>
        <v/>
      </c>
      <c r="G52" s="23">
        <f>IF($J52="","",INDEX('顧客一覧'!$G$5:$G$104,$J52)&amp;"")</f>
        <v/>
      </c>
      <c r="H52" s="23">
        <f>IF($J52="","",INDEX('顧客一覧'!$H$5:$H$104,$J52)&amp;"")</f>
        <v/>
      </c>
      <c r="I52" s="22">
        <f>IF($J52="","",INDEX('顧客一覧'!$J$5:$J$104,$J52))</f>
        <v/>
      </c>
      <c r="J52" s="33">
        <f>IFERROR(MATCH(SMALL('顧客一覧'!$O$5:$O$104,48),'顧客一覧'!$O$5:$O$104,0),"")</f>
        <v/>
      </c>
    </row>
    <row r="53">
      <c r="A53" s="23">
        <f>IF($J53="","",49)</f>
        <v/>
      </c>
      <c r="B53" s="22">
        <f>IF($J53="","",IF(INDEX('顧客一覧'!$M$5:$M$104,$J53)="","期日未定",INDEX('顧客一覧'!$M$5:$M$104,$J53)))</f>
        <v/>
      </c>
      <c r="C53" s="26">
        <f>IF($J53="","",IF(ISNUMBER($B53),$B53-$B$2,""))</f>
        <v/>
      </c>
      <c r="D53" s="23">
        <f>IF($J53="","",INDEX('顧客一覧'!$A$5:$A$104,$J53))</f>
        <v/>
      </c>
      <c r="E53" s="19">
        <f>IF($J53="","",INDEX('顧客一覧'!$C$5:$C$104,$J53)&amp;"")</f>
        <v/>
      </c>
      <c r="F53" s="19">
        <f>IF($J53="","",INDEX('顧客一覧'!$L$5:$L$104,$J53)&amp;"")</f>
        <v/>
      </c>
      <c r="G53" s="23">
        <f>IF($J53="","",INDEX('顧客一覧'!$G$5:$G$104,$J53)&amp;"")</f>
        <v/>
      </c>
      <c r="H53" s="23">
        <f>IF($J53="","",INDEX('顧客一覧'!$H$5:$H$104,$J53)&amp;"")</f>
        <v/>
      </c>
      <c r="I53" s="22">
        <f>IF($J53="","",INDEX('顧客一覧'!$J$5:$J$104,$J53))</f>
        <v/>
      </c>
      <c r="J53" s="33">
        <f>IFERROR(MATCH(SMALL('顧客一覧'!$O$5:$O$104,49),'顧客一覧'!$O$5:$O$104,0),"")</f>
        <v/>
      </c>
    </row>
    <row r="54">
      <c r="A54" s="23">
        <f>IF($J54="","",50)</f>
        <v/>
      </c>
      <c r="B54" s="22">
        <f>IF($J54="","",IF(INDEX('顧客一覧'!$M$5:$M$104,$J54)="","期日未定",INDEX('顧客一覧'!$M$5:$M$104,$J54)))</f>
        <v/>
      </c>
      <c r="C54" s="26">
        <f>IF($J54="","",IF(ISNUMBER($B54),$B54-$B$2,""))</f>
        <v/>
      </c>
      <c r="D54" s="23">
        <f>IF($J54="","",INDEX('顧客一覧'!$A$5:$A$104,$J54))</f>
        <v/>
      </c>
      <c r="E54" s="19">
        <f>IF($J54="","",INDEX('顧客一覧'!$C$5:$C$104,$J54)&amp;"")</f>
        <v/>
      </c>
      <c r="F54" s="19">
        <f>IF($J54="","",INDEX('顧客一覧'!$L$5:$L$104,$J54)&amp;"")</f>
        <v/>
      </c>
      <c r="G54" s="23">
        <f>IF($J54="","",INDEX('顧客一覧'!$G$5:$G$104,$J54)&amp;"")</f>
        <v/>
      </c>
      <c r="H54" s="23">
        <f>IF($J54="","",INDEX('顧客一覧'!$H$5:$H$104,$J54)&amp;"")</f>
        <v/>
      </c>
      <c r="I54" s="22">
        <f>IF($J54="","",INDEX('顧客一覧'!$J$5:$J$104,$J54))</f>
        <v/>
      </c>
      <c r="J54" s="33">
        <f>IFERROR(MATCH(SMALL('顧客一覧'!$O$5:$O$104,50),'顧客一覧'!$O$5:$O$104,0),"")</f>
        <v/>
      </c>
    </row>
    <row r="55">
      <c r="A55" s="23">
        <f>IF($J55="","",51)</f>
        <v/>
      </c>
      <c r="B55" s="22">
        <f>IF($J55="","",IF(INDEX('顧客一覧'!$M$5:$M$104,$J55)="","期日未定",INDEX('顧客一覧'!$M$5:$M$104,$J55)))</f>
        <v/>
      </c>
      <c r="C55" s="26">
        <f>IF($J55="","",IF(ISNUMBER($B55),$B55-$B$2,""))</f>
        <v/>
      </c>
      <c r="D55" s="23">
        <f>IF($J55="","",INDEX('顧客一覧'!$A$5:$A$104,$J55))</f>
        <v/>
      </c>
      <c r="E55" s="19">
        <f>IF($J55="","",INDEX('顧客一覧'!$C$5:$C$104,$J55)&amp;"")</f>
        <v/>
      </c>
      <c r="F55" s="19">
        <f>IF($J55="","",INDEX('顧客一覧'!$L$5:$L$104,$J55)&amp;"")</f>
        <v/>
      </c>
      <c r="G55" s="23">
        <f>IF($J55="","",INDEX('顧客一覧'!$G$5:$G$104,$J55)&amp;"")</f>
        <v/>
      </c>
      <c r="H55" s="23">
        <f>IF($J55="","",INDEX('顧客一覧'!$H$5:$H$104,$J55)&amp;"")</f>
        <v/>
      </c>
      <c r="I55" s="22">
        <f>IF($J55="","",INDEX('顧客一覧'!$J$5:$J$104,$J55))</f>
        <v/>
      </c>
      <c r="J55" s="33">
        <f>IFERROR(MATCH(SMALL('顧客一覧'!$O$5:$O$104,51),'顧客一覧'!$O$5:$O$104,0),"")</f>
        <v/>
      </c>
    </row>
    <row r="56">
      <c r="A56" s="23">
        <f>IF($J56="","",52)</f>
        <v/>
      </c>
      <c r="B56" s="22">
        <f>IF($J56="","",IF(INDEX('顧客一覧'!$M$5:$M$104,$J56)="","期日未定",INDEX('顧客一覧'!$M$5:$M$104,$J56)))</f>
        <v/>
      </c>
      <c r="C56" s="26">
        <f>IF($J56="","",IF(ISNUMBER($B56),$B56-$B$2,""))</f>
        <v/>
      </c>
      <c r="D56" s="23">
        <f>IF($J56="","",INDEX('顧客一覧'!$A$5:$A$104,$J56))</f>
        <v/>
      </c>
      <c r="E56" s="19">
        <f>IF($J56="","",INDEX('顧客一覧'!$C$5:$C$104,$J56)&amp;"")</f>
        <v/>
      </c>
      <c r="F56" s="19">
        <f>IF($J56="","",INDEX('顧客一覧'!$L$5:$L$104,$J56)&amp;"")</f>
        <v/>
      </c>
      <c r="G56" s="23">
        <f>IF($J56="","",INDEX('顧客一覧'!$G$5:$G$104,$J56)&amp;"")</f>
        <v/>
      </c>
      <c r="H56" s="23">
        <f>IF($J56="","",INDEX('顧客一覧'!$H$5:$H$104,$J56)&amp;"")</f>
        <v/>
      </c>
      <c r="I56" s="22">
        <f>IF($J56="","",INDEX('顧客一覧'!$J$5:$J$104,$J56))</f>
        <v/>
      </c>
      <c r="J56" s="33">
        <f>IFERROR(MATCH(SMALL('顧客一覧'!$O$5:$O$104,52),'顧客一覧'!$O$5:$O$104,0),"")</f>
        <v/>
      </c>
    </row>
    <row r="57">
      <c r="A57" s="23">
        <f>IF($J57="","",53)</f>
        <v/>
      </c>
      <c r="B57" s="22">
        <f>IF($J57="","",IF(INDEX('顧客一覧'!$M$5:$M$104,$J57)="","期日未定",INDEX('顧客一覧'!$M$5:$M$104,$J57)))</f>
        <v/>
      </c>
      <c r="C57" s="26">
        <f>IF($J57="","",IF(ISNUMBER($B57),$B57-$B$2,""))</f>
        <v/>
      </c>
      <c r="D57" s="23">
        <f>IF($J57="","",INDEX('顧客一覧'!$A$5:$A$104,$J57))</f>
        <v/>
      </c>
      <c r="E57" s="19">
        <f>IF($J57="","",INDEX('顧客一覧'!$C$5:$C$104,$J57)&amp;"")</f>
        <v/>
      </c>
      <c r="F57" s="19">
        <f>IF($J57="","",INDEX('顧客一覧'!$L$5:$L$104,$J57)&amp;"")</f>
        <v/>
      </c>
      <c r="G57" s="23">
        <f>IF($J57="","",INDEX('顧客一覧'!$G$5:$G$104,$J57)&amp;"")</f>
        <v/>
      </c>
      <c r="H57" s="23">
        <f>IF($J57="","",INDEX('顧客一覧'!$H$5:$H$104,$J57)&amp;"")</f>
        <v/>
      </c>
      <c r="I57" s="22">
        <f>IF($J57="","",INDEX('顧客一覧'!$J$5:$J$104,$J57))</f>
        <v/>
      </c>
      <c r="J57" s="33">
        <f>IFERROR(MATCH(SMALL('顧客一覧'!$O$5:$O$104,53),'顧客一覧'!$O$5:$O$104,0),"")</f>
        <v/>
      </c>
    </row>
    <row r="58">
      <c r="A58" s="23">
        <f>IF($J58="","",54)</f>
        <v/>
      </c>
      <c r="B58" s="22">
        <f>IF($J58="","",IF(INDEX('顧客一覧'!$M$5:$M$104,$J58)="","期日未定",INDEX('顧客一覧'!$M$5:$M$104,$J58)))</f>
        <v/>
      </c>
      <c r="C58" s="26">
        <f>IF($J58="","",IF(ISNUMBER($B58),$B58-$B$2,""))</f>
        <v/>
      </c>
      <c r="D58" s="23">
        <f>IF($J58="","",INDEX('顧客一覧'!$A$5:$A$104,$J58))</f>
        <v/>
      </c>
      <c r="E58" s="19">
        <f>IF($J58="","",INDEX('顧客一覧'!$C$5:$C$104,$J58)&amp;"")</f>
        <v/>
      </c>
      <c r="F58" s="19">
        <f>IF($J58="","",INDEX('顧客一覧'!$L$5:$L$104,$J58)&amp;"")</f>
        <v/>
      </c>
      <c r="G58" s="23">
        <f>IF($J58="","",INDEX('顧客一覧'!$G$5:$G$104,$J58)&amp;"")</f>
        <v/>
      </c>
      <c r="H58" s="23">
        <f>IF($J58="","",INDEX('顧客一覧'!$H$5:$H$104,$J58)&amp;"")</f>
        <v/>
      </c>
      <c r="I58" s="22">
        <f>IF($J58="","",INDEX('顧客一覧'!$J$5:$J$104,$J58))</f>
        <v/>
      </c>
      <c r="J58" s="33">
        <f>IFERROR(MATCH(SMALL('顧客一覧'!$O$5:$O$104,54),'顧客一覧'!$O$5:$O$104,0),"")</f>
        <v/>
      </c>
    </row>
    <row r="59">
      <c r="A59" s="23">
        <f>IF($J59="","",55)</f>
        <v/>
      </c>
      <c r="B59" s="22">
        <f>IF($J59="","",IF(INDEX('顧客一覧'!$M$5:$M$104,$J59)="","期日未定",INDEX('顧客一覧'!$M$5:$M$104,$J59)))</f>
        <v/>
      </c>
      <c r="C59" s="26">
        <f>IF($J59="","",IF(ISNUMBER($B59),$B59-$B$2,""))</f>
        <v/>
      </c>
      <c r="D59" s="23">
        <f>IF($J59="","",INDEX('顧客一覧'!$A$5:$A$104,$J59))</f>
        <v/>
      </c>
      <c r="E59" s="19">
        <f>IF($J59="","",INDEX('顧客一覧'!$C$5:$C$104,$J59)&amp;"")</f>
        <v/>
      </c>
      <c r="F59" s="19">
        <f>IF($J59="","",INDEX('顧客一覧'!$L$5:$L$104,$J59)&amp;"")</f>
        <v/>
      </c>
      <c r="G59" s="23">
        <f>IF($J59="","",INDEX('顧客一覧'!$G$5:$G$104,$J59)&amp;"")</f>
        <v/>
      </c>
      <c r="H59" s="23">
        <f>IF($J59="","",INDEX('顧客一覧'!$H$5:$H$104,$J59)&amp;"")</f>
        <v/>
      </c>
      <c r="I59" s="22">
        <f>IF($J59="","",INDEX('顧客一覧'!$J$5:$J$104,$J59))</f>
        <v/>
      </c>
      <c r="J59" s="33">
        <f>IFERROR(MATCH(SMALL('顧客一覧'!$O$5:$O$104,55),'顧客一覧'!$O$5:$O$104,0),"")</f>
        <v/>
      </c>
    </row>
    <row r="60">
      <c r="A60" s="23">
        <f>IF($J60="","",56)</f>
        <v/>
      </c>
      <c r="B60" s="22">
        <f>IF($J60="","",IF(INDEX('顧客一覧'!$M$5:$M$104,$J60)="","期日未定",INDEX('顧客一覧'!$M$5:$M$104,$J60)))</f>
        <v/>
      </c>
      <c r="C60" s="26">
        <f>IF($J60="","",IF(ISNUMBER($B60),$B60-$B$2,""))</f>
        <v/>
      </c>
      <c r="D60" s="23">
        <f>IF($J60="","",INDEX('顧客一覧'!$A$5:$A$104,$J60))</f>
        <v/>
      </c>
      <c r="E60" s="19">
        <f>IF($J60="","",INDEX('顧客一覧'!$C$5:$C$104,$J60)&amp;"")</f>
        <v/>
      </c>
      <c r="F60" s="19">
        <f>IF($J60="","",INDEX('顧客一覧'!$L$5:$L$104,$J60)&amp;"")</f>
        <v/>
      </c>
      <c r="G60" s="23">
        <f>IF($J60="","",INDEX('顧客一覧'!$G$5:$G$104,$J60)&amp;"")</f>
        <v/>
      </c>
      <c r="H60" s="23">
        <f>IF($J60="","",INDEX('顧客一覧'!$H$5:$H$104,$J60)&amp;"")</f>
        <v/>
      </c>
      <c r="I60" s="22">
        <f>IF($J60="","",INDEX('顧客一覧'!$J$5:$J$104,$J60))</f>
        <v/>
      </c>
      <c r="J60" s="33">
        <f>IFERROR(MATCH(SMALL('顧客一覧'!$O$5:$O$104,56),'顧客一覧'!$O$5:$O$104,0),"")</f>
        <v/>
      </c>
    </row>
    <row r="61">
      <c r="A61" s="23">
        <f>IF($J61="","",57)</f>
        <v/>
      </c>
      <c r="B61" s="22">
        <f>IF($J61="","",IF(INDEX('顧客一覧'!$M$5:$M$104,$J61)="","期日未定",INDEX('顧客一覧'!$M$5:$M$104,$J61)))</f>
        <v/>
      </c>
      <c r="C61" s="26">
        <f>IF($J61="","",IF(ISNUMBER($B61),$B61-$B$2,""))</f>
        <v/>
      </c>
      <c r="D61" s="23">
        <f>IF($J61="","",INDEX('顧客一覧'!$A$5:$A$104,$J61))</f>
        <v/>
      </c>
      <c r="E61" s="19">
        <f>IF($J61="","",INDEX('顧客一覧'!$C$5:$C$104,$J61)&amp;"")</f>
        <v/>
      </c>
      <c r="F61" s="19">
        <f>IF($J61="","",INDEX('顧客一覧'!$L$5:$L$104,$J61)&amp;"")</f>
        <v/>
      </c>
      <c r="G61" s="23">
        <f>IF($J61="","",INDEX('顧客一覧'!$G$5:$G$104,$J61)&amp;"")</f>
        <v/>
      </c>
      <c r="H61" s="23">
        <f>IF($J61="","",INDEX('顧客一覧'!$H$5:$H$104,$J61)&amp;"")</f>
        <v/>
      </c>
      <c r="I61" s="22">
        <f>IF($J61="","",INDEX('顧客一覧'!$J$5:$J$104,$J61))</f>
        <v/>
      </c>
      <c r="J61" s="33">
        <f>IFERROR(MATCH(SMALL('顧客一覧'!$O$5:$O$104,57),'顧客一覧'!$O$5:$O$104,0),"")</f>
        <v/>
      </c>
    </row>
    <row r="62">
      <c r="A62" s="23">
        <f>IF($J62="","",58)</f>
        <v/>
      </c>
      <c r="B62" s="22">
        <f>IF($J62="","",IF(INDEX('顧客一覧'!$M$5:$M$104,$J62)="","期日未定",INDEX('顧客一覧'!$M$5:$M$104,$J62)))</f>
        <v/>
      </c>
      <c r="C62" s="26">
        <f>IF($J62="","",IF(ISNUMBER($B62),$B62-$B$2,""))</f>
        <v/>
      </c>
      <c r="D62" s="23">
        <f>IF($J62="","",INDEX('顧客一覧'!$A$5:$A$104,$J62))</f>
        <v/>
      </c>
      <c r="E62" s="19">
        <f>IF($J62="","",INDEX('顧客一覧'!$C$5:$C$104,$J62)&amp;"")</f>
        <v/>
      </c>
      <c r="F62" s="19">
        <f>IF($J62="","",INDEX('顧客一覧'!$L$5:$L$104,$J62)&amp;"")</f>
        <v/>
      </c>
      <c r="G62" s="23">
        <f>IF($J62="","",INDEX('顧客一覧'!$G$5:$G$104,$J62)&amp;"")</f>
        <v/>
      </c>
      <c r="H62" s="23">
        <f>IF($J62="","",INDEX('顧客一覧'!$H$5:$H$104,$J62)&amp;"")</f>
        <v/>
      </c>
      <c r="I62" s="22">
        <f>IF($J62="","",INDEX('顧客一覧'!$J$5:$J$104,$J62))</f>
        <v/>
      </c>
      <c r="J62" s="33">
        <f>IFERROR(MATCH(SMALL('顧客一覧'!$O$5:$O$104,58),'顧客一覧'!$O$5:$O$104,0),"")</f>
        <v/>
      </c>
    </row>
    <row r="63">
      <c r="A63" s="23">
        <f>IF($J63="","",59)</f>
        <v/>
      </c>
      <c r="B63" s="22">
        <f>IF($J63="","",IF(INDEX('顧客一覧'!$M$5:$M$104,$J63)="","期日未定",INDEX('顧客一覧'!$M$5:$M$104,$J63)))</f>
        <v/>
      </c>
      <c r="C63" s="26">
        <f>IF($J63="","",IF(ISNUMBER($B63),$B63-$B$2,""))</f>
        <v/>
      </c>
      <c r="D63" s="23">
        <f>IF($J63="","",INDEX('顧客一覧'!$A$5:$A$104,$J63))</f>
        <v/>
      </c>
      <c r="E63" s="19">
        <f>IF($J63="","",INDEX('顧客一覧'!$C$5:$C$104,$J63)&amp;"")</f>
        <v/>
      </c>
      <c r="F63" s="19">
        <f>IF($J63="","",INDEX('顧客一覧'!$L$5:$L$104,$J63)&amp;"")</f>
        <v/>
      </c>
      <c r="G63" s="23">
        <f>IF($J63="","",INDEX('顧客一覧'!$G$5:$G$104,$J63)&amp;"")</f>
        <v/>
      </c>
      <c r="H63" s="23">
        <f>IF($J63="","",INDEX('顧客一覧'!$H$5:$H$104,$J63)&amp;"")</f>
        <v/>
      </c>
      <c r="I63" s="22">
        <f>IF($J63="","",INDEX('顧客一覧'!$J$5:$J$104,$J63))</f>
        <v/>
      </c>
      <c r="J63" s="33">
        <f>IFERROR(MATCH(SMALL('顧客一覧'!$O$5:$O$104,59),'顧客一覧'!$O$5:$O$104,0),"")</f>
        <v/>
      </c>
    </row>
    <row r="64">
      <c r="A64" s="23">
        <f>IF($J64="","",60)</f>
        <v/>
      </c>
      <c r="B64" s="22">
        <f>IF($J64="","",IF(INDEX('顧客一覧'!$M$5:$M$104,$J64)="","期日未定",INDEX('顧客一覧'!$M$5:$M$104,$J64)))</f>
        <v/>
      </c>
      <c r="C64" s="26">
        <f>IF($J64="","",IF(ISNUMBER($B64),$B64-$B$2,""))</f>
        <v/>
      </c>
      <c r="D64" s="23">
        <f>IF($J64="","",INDEX('顧客一覧'!$A$5:$A$104,$J64))</f>
        <v/>
      </c>
      <c r="E64" s="19">
        <f>IF($J64="","",INDEX('顧客一覧'!$C$5:$C$104,$J64)&amp;"")</f>
        <v/>
      </c>
      <c r="F64" s="19">
        <f>IF($J64="","",INDEX('顧客一覧'!$L$5:$L$104,$J64)&amp;"")</f>
        <v/>
      </c>
      <c r="G64" s="23">
        <f>IF($J64="","",INDEX('顧客一覧'!$G$5:$G$104,$J64)&amp;"")</f>
        <v/>
      </c>
      <c r="H64" s="23">
        <f>IF($J64="","",INDEX('顧客一覧'!$H$5:$H$104,$J64)&amp;"")</f>
        <v/>
      </c>
      <c r="I64" s="22">
        <f>IF($J64="","",INDEX('顧客一覧'!$J$5:$J$104,$J64))</f>
        <v/>
      </c>
      <c r="J64" s="33">
        <f>IFERROR(MATCH(SMALL('顧客一覧'!$O$5:$O$104,60),'顧客一覧'!$O$5:$O$104,0),"")</f>
        <v/>
      </c>
    </row>
    <row r="65">
      <c r="A65" s="23">
        <f>IF($J65="","",61)</f>
        <v/>
      </c>
      <c r="B65" s="22">
        <f>IF($J65="","",IF(INDEX('顧客一覧'!$M$5:$M$104,$J65)="","期日未定",INDEX('顧客一覧'!$M$5:$M$104,$J65)))</f>
        <v/>
      </c>
      <c r="C65" s="26">
        <f>IF($J65="","",IF(ISNUMBER($B65),$B65-$B$2,""))</f>
        <v/>
      </c>
      <c r="D65" s="23">
        <f>IF($J65="","",INDEX('顧客一覧'!$A$5:$A$104,$J65))</f>
        <v/>
      </c>
      <c r="E65" s="19">
        <f>IF($J65="","",INDEX('顧客一覧'!$C$5:$C$104,$J65)&amp;"")</f>
        <v/>
      </c>
      <c r="F65" s="19">
        <f>IF($J65="","",INDEX('顧客一覧'!$L$5:$L$104,$J65)&amp;"")</f>
        <v/>
      </c>
      <c r="G65" s="23">
        <f>IF($J65="","",INDEX('顧客一覧'!$G$5:$G$104,$J65)&amp;"")</f>
        <v/>
      </c>
      <c r="H65" s="23">
        <f>IF($J65="","",INDEX('顧客一覧'!$H$5:$H$104,$J65)&amp;"")</f>
        <v/>
      </c>
      <c r="I65" s="22">
        <f>IF($J65="","",INDEX('顧客一覧'!$J$5:$J$104,$J65))</f>
        <v/>
      </c>
      <c r="J65" s="33">
        <f>IFERROR(MATCH(SMALL('顧客一覧'!$O$5:$O$104,61),'顧客一覧'!$O$5:$O$104,0),"")</f>
        <v/>
      </c>
    </row>
    <row r="66">
      <c r="A66" s="23">
        <f>IF($J66="","",62)</f>
        <v/>
      </c>
      <c r="B66" s="22">
        <f>IF($J66="","",IF(INDEX('顧客一覧'!$M$5:$M$104,$J66)="","期日未定",INDEX('顧客一覧'!$M$5:$M$104,$J66)))</f>
        <v/>
      </c>
      <c r="C66" s="26">
        <f>IF($J66="","",IF(ISNUMBER($B66),$B66-$B$2,""))</f>
        <v/>
      </c>
      <c r="D66" s="23">
        <f>IF($J66="","",INDEX('顧客一覧'!$A$5:$A$104,$J66))</f>
        <v/>
      </c>
      <c r="E66" s="19">
        <f>IF($J66="","",INDEX('顧客一覧'!$C$5:$C$104,$J66)&amp;"")</f>
        <v/>
      </c>
      <c r="F66" s="19">
        <f>IF($J66="","",INDEX('顧客一覧'!$L$5:$L$104,$J66)&amp;"")</f>
        <v/>
      </c>
      <c r="G66" s="23">
        <f>IF($J66="","",INDEX('顧客一覧'!$G$5:$G$104,$J66)&amp;"")</f>
        <v/>
      </c>
      <c r="H66" s="23">
        <f>IF($J66="","",INDEX('顧客一覧'!$H$5:$H$104,$J66)&amp;"")</f>
        <v/>
      </c>
      <c r="I66" s="22">
        <f>IF($J66="","",INDEX('顧客一覧'!$J$5:$J$104,$J66))</f>
        <v/>
      </c>
      <c r="J66" s="33">
        <f>IFERROR(MATCH(SMALL('顧客一覧'!$O$5:$O$104,62),'顧客一覧'!$O$5:$O$104,0),"")</f>
        <v/>
      </c>
    </row>
    <row r="67">
      <c r="A67" s="23">
        <f>IF($J67="","",63)</f>
        <v/>
      </c>
      <c r="B67" s="22">
        <f>IF($J67="","",IF(INDEX('顧客一覧'!$M$5:$M$104,$J67)="","期日未定",INDEX('顧客一覧'!$M$5:$M$104,$J67)))</f>
        <v/>
      </c>
      <c r="C67" s="26">
        <f>IF($J67="","",IF(ISNUMBER($B67),$B67-$B$2,""))</f>
        <v/>
      </c>
      <c r="D67" s="23">
        <f>IF($J67="","",INDEX('顧客一覧'!$A$5:$A$104,$J67))</f>
        <v/>
      </c>
      <c r="E67" s="19">
        <f>IF($J67="","",INDEX('顧客一覧'!$C$5:$C$104,$J67)&amp;"")</f>
        <v/>
      </c>
      <c r="F67" s="19">
        <f>IF($J67="","",INDEX('顧客一覧'!$L$5:$L$104,$J67)&amp;"")</f>
        <v/>
      </c>
      <c r="G67" s="23">
        <f>IF($J67="","",INDEX('顧客一覧'!$G$5:$G$104,$J67)&amp;"")</f>
        <v/>
      </c>
      <c r="H67" s="23">
        <f>IF($J67="","",INDEX('顧客一覧'!$H$5:$H$104,$J67)&amp;"")</f>
        <v/>
      </c>
      <c r="I67" s="22">
        <f>IF($J67="","",INDEX('顧客一覧'!$J$5:$J$104,$J67))</f>
        <v/>
      </c>
      <c r="J67" s="33">
        <f>IFERROR(MATCH(SMALL('顧客一覧'!$O$5:$O$104,63),'顧客一覧'!$O$5:$O$104,0),"")</f>
        <v/>
      </c>
    </row>
    <row r="68">
      <c r="A68" s="23">
        <f>IF($J68="","",64)</f>
        <v/>
      </c>
      <c r="B68" s="22">
        <f>IF($J68="","",IF(INDEX('顧客一覧'!$M$5:$M$104,$J68)="","期日未定",INDEX('顧客一覧'!$M$5:$M$104,$J68)))</f>
        <v/>
      </c>
      <c r="C68" s="26">
        <f>IF($J68="","",IF(ISNUMBER($B68),$B68-$B$2,""))</f>
        <v/>
      </c>
      <c r="D68" s="23">
        <f>IF($J68="","",INDEX('顧客一覧'!$A$5:$A$104,$J68))</f>
        <v/>
      </c>
      <c r="E68" s="19">
        <f>IF($J68="","",INDEX('顧客一覧'!$C$5:$C$104,$J68)&amp;"")</f>
        <v/>
      </c>
      <c r="F68" s="19">
        <f>IF($J68="","",INDEX('顧客一覧'!$L$5:$L$104,$J68)&amp;"")</f>
        <v/>
      </c>
      <c r="G68" s="23">
        <f>IF($J68="","",INDEX('顧客一覧'!$G$5:$G$104,$J68)&amp;"")</f>
        <v/>
      </c>
      <c r="H68" s="23">
        <f>IF($J68="","",INDEX('顧客一覧'!$H$5:$H$104,$J68)&amp;"")</f>
        <v/>
      </c>
      <c r="I68" s="22">
        <f>IF($J68="","",INDEX('顧客一覧'!$J$5:$J$104,$J68))</f>
        <v/>
      </c>
      <c r="J68" s="33">
        <f>IFERROR(MATCH(SMALL('顧客一覧'!$O$5:$O$104,64),'顧客一覧'!$O$5:$O$104,0),"")</f>
        <v/>
      </c>
    </row>
    <row r="69">
      <c r="A69" s="23">
        <f>IF($J69="","",65)</f>
        <v/>
      </c>
      <c r="B69" s="22">
        <f>IF($J69="","",IF(INDEX('顧客一覧'!$M$5:$M$104,$J69)="","期日未定",INDEX('顧客一覧'!$M$5:$M$104,$J69)))</f>
        <v/>
      </c>
      <c r="C69" s="26">
        <f>IF($J69="","",IF(ISNUMBER($B69),$B69-$B$2,""))</f>
        <v/>
      </c>
      <c r="D69" s="23">
        <f>IF($J69="","",INDEX('顧客一覧'!$A$5:$A$104,$J69))</f>
        <v/>
      </c>
      <c r="E69" s="19">
        <f>IF($J69="","",INDEX('顧客一覧'!$C$5:$C$104,$J69)&amp;"")</f>
        <v/>
      </c>
      <c r="F69" s="19">
        <f>IF($J69="","",INDEX('顧客一覧'!$L$5:$L$104,$J69)&amp;"")</f>
        <v/>
      </c>
      <c r="G69" s="23">
        <f>IF($J69="","",INDEX('顧客一覧'!$G$5:$G$104,$J69)&amp;"")</f>
        <v/>
      </c>
      <c r="H69" s="23">
        <f>IF($J69="","",INDEX('顧客一覧'!$H$5:$H$104,$J69)&amp;"")</f>
        <v/>
      </c>
      <c r="I69" s="22">
        <f>IF($J69="","",INDEX('顧客一覧'!$J$5:$J$104,$J69))</f>
        <v/>
      </c>
      <c r="J69" s="33">
        <f>IFERROR(MATCH(SMALL('顧客一覧'!$O$5:$O$104,65),'顧客一覧'!$O$5:$O$104,0),"")</f>
        <v/>
      </c>
    </row>
    <row r="70">
      <c r="A70" s="23">
        <f>IF($J70="","",66)</f>
        <v/>
      </c>
      <c r="B70" s="22">
        <f>IF($J70="","",IF(INDEX('顧客一覧'!$M$5:$M$104,$J70)="","期日未定",INDEX('顧客一覧'!$M$5:$M$104,$J70)))</f>
        <v/>
      </c>
      <c r="C70" s="26">
        <f>IF($J70="","",IF(ISNUMBER($B70),$B70-$B$2,""))</f>
        <v/>
      </c>
      <c r="D70" s="23">
        <f>IF($J70="","",INDEX('顧客一覧'!$A$5:$A$104,$J70))</f>
        <v/>
      </c>
      <c r="E70" s="19">
        <f>IF($J70="","",INDEX('顧客一覧'!$C$5:$C$104,$J70)&amp;"")</f>
        <v/>
      </c>
      <c r="F70" s="19">
        <f>IF($J70="","",INDEX('顧客一覧'!$L$5:$L$104,$J70)&amp;"")</f>
        <v/>
      </c>
      <c r="G70" s="23">
        <f>IF($J70="","",INDEX('顧客一覧'!$G$5:$G$104,$J70)&amp;"")</f>
        <v/>
      </c>
      <c r="H70" s="23">
        <f>IF($J70="","",INDEX('顧客一覧'!$H$5:$H$104,$J70)&amp;"")</f>
        <v/>
      </c>
      <c r="I70" s="22">
        <f>IF($J70="","",INDEX('顧客一覧'!$J$5:$J$104,$J70))</f>
        <v/>
      </c>
      <c r="J70" s="33">
        <f>IFERROR(MATCH(SMALL('顧客一覧'!$O$5:$O$104,66),'顧客一覧'!$O$5:$O$104,0),"")</f>
        <v/>
      </c>
    </row>
    <row r="71">
      <c r="A71" s="23">
        <f>IF($J71="","",67)</f>
        <v/>
      </c>
      <c r="B71" s="22">
        <f>IF($J71="","",IF(INDEX('顧客一覧'!$M$5:$M$104,$J71)="","期日未定",INDEX('顧客一覧'!$M$5:$M$104,$J71)))</f>
        <v/>
      </c>
      <c r="C71" s="26">
        <f>IF($J71="","",IF(ISNUMBER($B71),$B71-$B$2,""))</f>
        <v/>
      </c>
      <c r="D71" s="23">
        <f>IF($J71="","",INDEX('顧客一覧'!$A$5:$A$104,$J71))</f>
        <v/>
      </c>
      <c r="E71" s="19">
        <f>IF($J71="","",INDEX('顧客一覧'!$C$5:$C$104,$J71)&amp;"")</f>
        <v/>
      </c>
      <c r="F71" s="19">
        <f>IF($J71="","",INDEX('顧客一覧'!$L$5:$L$104,$J71)&amp;"")</f>
        <v/>
      </c>
      <c r="G71" s="23">
        <f>IF($J71="","",INDEX('顧客一覧'!$G$5:$G$104,$J71)&amp;"")</f>
        <v/>
      </c>
      <c r="H71" s="23">
        <f>IF($J71="","",INDEX('顧客一覧'!$H$5:$H$104,$J71)&amp;"")</f>
        <v/>
      </c>
      <c r="I71" s="22">
        <f>IF($J71="","",INDEX('顧客一覧'!$J$5:$J$104,$J71))</f>
        <v/>
      </c>
      <c r="J71" s="33">
        <f>IFERROR(MATCH(SMALL('顧客一覧'!$O$5:$O$104,67),'顧客一覧'!$O$5:$O$104,0),"")</f>
        <v/>
      </c>
    </row>
    <row r="72">
      <c r="A72" s="23">
        <f>IF($J72="","",68)</f>
        <v/>
      </c>
      <c r="B72" s="22">
        <f>IF($J72="","",IF(INDEX('顧客一覧'!$M$5:$M$104,$J72)="","期日未定",INDEX('顧客一覧'!$M$5:$M$104,$J72)))</f>
        <v/>
      </c>
      <c r="C72" s="26">
        <f>IF($J72="","",IF(ISNUMBER($B72),$B72-$B$2,""))</f>
        <v/>
      </c>
      <c r="D72" s="23">
        <f>IF($J72="","",INDEX('顧客一覧'!$A$5:$A$104,$J72))</f>
        <v/>
      </c>
      <c r="E72" s="19">
        <f>IF($J72="","",INDEX('顧客一覧'!$C$5:$C$104,$J72)&amp;"")</f>
        <v/>
      </c>
      <c r="F72" s="19">
        <f>IF($J72="","",INDEX('顧客一覧'!$L$5:$L$104,$J72)&amp;"")</f>
        <v/>
      </c>
      <c r="G72" s="23">
        <f>IF($J72="","",INDEX('顧客一覧'!$G$5:$G$104,$J72)&amp;"")</f>
        <v/>
      </c>
      <c r="H72" s="23">
        <f>IF($J72="","",INDEX('顧客一覧'!$H$5:$H$104,$J72)&amp;"")</f>
        <v/>
      </c>
      <c r="I72" s="22">
        <f>IF($J72="","",INDEX('顧客一覧'!$J$5:$J$104,$J72))</f>
        <v/>
      </c>
      <c r="J72" s="33">
        <f>IFERROR(MATCH(SMALL('顧客一覧'!$O$5:$O$104,68),'顧客一覧'!$O$5:$O$104,0),"")</f>
        <v/>
      </c>
    </row>
    <row r="73">
      <c r="A73" s="23">
        <f>IF($J73="","",69)</f>
        <v/>
      </c>
      <c r="B73" s="22">
        <f>IF($J73="","",IF(INDEX('顧客一覧'!$M$5:$M$104,$J73)="","期日未定",INDEX('顧客一覧'!$M$5:$M$104,$J73)))</f>
        <v/>
      </c>
      <c r="C73" s="26">
        <f>IF($J73="","",IF(ISNUMBER($B73),$B73-$B$2,""))</f>
        <v/>
      </c>
      <c r="D73" s="23">
        <f>IF($J73="","",INDEX('顧客一覧'!$A$5:$A$104,$J73))</f>
        <v/>
      </c>
      <c r="E73" s="19">
        <f>IF($J73="","",INDEX('顧客一覧'!$C$5:$C$104,$J73)&amp;"")</f>
        <v/>
      </c>
      <c r="F73" s="19">
        <f>IF($J73="","",INDEX('顧客一覧'!$L$5:$L$104,$J73)&amp;"")</f>
        <v/>
      </c>
      <c r="G73" s="23">
        <f>IF($J73="","",INDEX('顧客一覧'!$G$5:$G$104,$J73)&amp;"")</f>
        <v/>
      </c>
      <c r="H73" s="23">
        <f>IF($J73="","",INDEX('顧客一覧'!$H$5:$H$104,$J73)&amp;"")</f>
        <v/>
      </c>
      <c r="I73" s="22">
        <f>IF($J73="","",INDEX('顧客一覧'!$J$5:$J$104,$J73))</f>
        <v/>
      </c>
      <c r="J73" s="33">
        <f>IFERROR(MATCH(SMALL('顧客一覧'!$O$5:$O$104,69),'顧客一覧'!$O$5:$O$104,0),"")</f>
        <v/>
      </c>
    </row>
    <row r="74">
      <c r="A74" s="23">
        <f>IF($J74="","",70)</f>
        <v/>
      </c>
      <c r="B74" s="22">
        <f>IF($J74="","",IF(INDEX('顧客一覧'!$M$5:$M$104,$J74)="","期日未定",INDEX('顧客一覧'!$M$5:$M$104,$J74)))</f>
        <v/>
      </c>
      <c r="C74" s="26">
        <f>IF($J74="","",IF(ISNUMBER($B74),$B74-$B$2,""))</f>
        <v/>
      </c>
      <c r="D74" s="23">
        <f>IF($J74="","",INDEX('顧客一覧'!$A$5:$A$104,$J74))</f>
        <v/>
      </c>
      <c r="E74" s="19">
        <f>IF($J74="","",INDEX('顧客一覧'!$C$5:$C$104,$J74)&amp;"")</f>
        <v/>
      </c>
      <c r="F74" s="19">
        <f>IF($J74="","",INDEX('顧客一覧'!$L$5:$L$104,$J74)&amp;"")</f>
        <v/>
      </c>
      <c r="G74" s="23">
        <f>IF($J74="","",INDEX('顧客一覧'!$G$5:$G$104,$J74)&amp;"")</f>
        <v/>
      </c>
      <c r="H74" s="23">
        <f>IF($J74="","",INDEX('顧客一覧'!$H$5:$H$104,$J74)&amp;"")</f>
        <v/>
      </c>
      <c r="I74" s="22">
        <f>IF($J74="","",INDEX('顧客一覧'!$J$5:$J$104,$J74))</f>
        <v/>
      </c>
      <c r="J74" s="33">
        <f>IFERROR(MATCH(SMALL('顧客一覧'!$O$5:$O$104,70),'顧客一覧'!$O$5:$O$104,0),"")</f>
        <v/>
      </c>
    </row>
    <row r="75">
      <c r="A75" s="23">
        <f>IF($J75="","",71)</f>
        <v/>
      </c>
      <c r="B75" s="22">
        <f>IF($J75="","",IF(INDEX('顧客一覧'!$M$5:$M$104,$J75)="","期日未定",INDEX('顧客一覧'!$M$5:$M$104,$J75)))</f>
        <v/>
      </c>
      <c r="C75" s="26">
        <f>IF($J75="","",IF(ISNUMBER($B75),$B75-$B$2,""))</f>
        <v/>
      </c>
      <c r="D75" s="23">
        <f>IF($J75="","",INDEX('顧客一覧'!$A$5:$A$104,$J75))</f>
        <v/>
      </c>
      <c r="E75" s="19">
        <f>IF($J75="","",INDEX('顧客一覧'!$C$5:$C$104,$J75)&amp;"")</f>
        <v/>
      </c>
      <c r="F75" s="19">
        <f>IF($J75="","",INDEX('顧客一覧'!$L$5:$L$104,$J75)&amp;"")</f>
        <v/>
      </c>
      <c r="G75" s="23">
        <f>IF($J75="","",INDEX('顧客一覧'!$G$5:$G$104,$J75)&amp;"")</f>
        <v/>
      </c>
      <c r="H75" s="23">
        <f>IF($J75="","",INDEX('顧客一覧'!$H$5:$H$104,$J75)&amp;"")</f>
        <v/>
      </c>
      <c r="I75" s="22">
        <f>IF($J75="","",INDEX('顧客一覧'!$J$5:$J$104,$J75))</f>
        <v/>
      </c>
      <c r="J75" s="33">
        <f>IFERROR(MATCH(SMALL('顧客一覧'!$O$5:$O$104,71),'顧客一覧'!$O$5:$O$104,0),"")</f>
        <v/>
      </c>
    </row>
    <row r="76">
      <c r="A76" s="23">
        <f>IF($J76="","",72)</f>
        <v/>
      </c>
      <c r="B76" s="22">
        <f>IF($J76="","",IF(INDEX('顧客一覧'!$M$5:$M$104,$J76)="","期日未定",INDEX('顧客一覧'!$M$5:$M$104,$J76)))</f>
        <v/>
      </c>
      <c r="C76" s="26">
        <f>IF($J76="","",IF(ISNUMBER($B76),$B76-$B$2,""))</f>
        <v/>
      </c>
      <c r="D76" s="23">
        <f>IF($J76="","",INDEX('顧客一覧'!$A$5:$A$104,$J76))</f>
        <v/>
      </c>
      <c r="E76" s="19">
        <f>IF($J76="","",INDEX('顧客一覧'!$C$5:$C$104,$J76)&amp;"")</f>
        <v/>
      </c>
      <c r="F76" s="19">
        <f>IF($J76="","",INDEX('顧客一覧'!$L$5:$L$104,$J76)&amp;"")</f>
        <v/>
      </c>
      <c r="G76" s="23">
        <f>IF($J76="","",INDEX('顧客一覧'!$G$5:$G$104,$J76)&amp;"")</f>
        <v/>
      </c>
      <c r="H76" s="23">
        <f>IF($J76="","",INDEX('顧客一覧'!$H$5:$H$104,$J76)&amp;"")</f>
        <v/>
      </c>
      <c r="I76" s="22">
        <f>IF($J76="","",INDEX('顧客一覧'!$J$5:$J$104,$J76))</f>
        <v/>
      </c>
      <c r="J76" s="33">
        <f>IFERROR(MATCH(SMALL('顧客一覧'!$O$5:$O$104,72),'顧客一覧'!$O$5:$O$104,0),"")</f>
        <v/>
      </c>
    </row>
    <row r="77">
      <c r="A77" s="23">
        <f>IF($J77="","",73)</f>
        <v/>
      </c>
      <c r="B77" s="22">
        <f>IF($J77="","",IF(INDEX('顧客一覧'!$M$5:$M$104,$J77)="","期日未定",INDEX('顧客一覧'!$M$5:$M$104,$J77)))</f>
        <v/>
      </c>
      <c r="C77" s="26">
        <f>IF($J77="","",IF(ISNUMBER($B77),$B77-$B$2,""))</f>
        <v/>
      </c>
      <c r="D77" s="23">
        <f>IF($J77="","",INDEX('顧客一覧'!$A$5:$A$104,$J77))</f>
        <v/>
      </c>
      <c r="E77" s="19">
        <f>IF($J77="","",INDEX('顧客一覧'!$C$5:$C$104,$J77)&amp;"")</f>
        <v/>
      </c>
      <c r="F77" s="19">
        <f>IF($J77="","",INDEX('顧客一覧'!$L$5:$L$104,$J77)&amp;"")</f>
        <v/>
      </c>
      <c r="G77" s="23">
        <f>IF($J77="","",INDEX('顧客一覧'!$G$5:$G$104,$J77)&amp;"")</f>
        <v/>
      </c>
      <c r="H77" s="23">
        <f>IF($J77="","",INDEX('顧客一覧'!$H$5:$H$104,$J77)&amp;"")</f>
        <v/>
      </c>
      <c r="I77" s="22">
        <f>IF($J77="","",INDEX('顧客一覧'!$J$5:$J$104,$J77))</f>
        <v/>
      </c>
      <c r="J77" s="33">
        <f>IFERROR(MATCH(SMALL('顧客一覧'!$O$5:$O$104,73),'顧客一覧'!$O$5:$O$104,0),"")</f>
        <v/>
      </c>
    </row>
    <row r="78">
      <c r="A78" s="23">
        <f>IF($J78="","",74)</f>
        <v/>
      </c>
      <c r="B78" s="22">
        <f>IF($J78="","",IF(INDEX('顧客一覧'!$M$5:$M$104,$J78)="","期日未定",INDEX('顧客一覧'!$M$5:$M$104,$J78)))</f>
        <v/>
      </c>
      <c r="C78" s="26">
        <f>IF($J78="","",IF(ISNUMBER($B78),$B78-$B$2,""))</f>
        <v/>
      </c>
      <c r="D78" s="23">
        <f>IF($J78="","",INDEX('顧客一覧'!$A$5:$A$104,$J78))</f>
        <v/>
      </c>
      <c r="E78" s="19">
        <f>IF($J78="","",INDEX('顧客一覧'!$C$5:$C$104,$J78)&amp;"")</f>
        <v/>
      </c>
      <c r="F78" s="19">
        <f>IF($J78="","",INDEX('顧客一覧'!$L$5:$L$104,$J78)&amp;"")</f>
        <v/>
      </c>
      <c r="G78" s="23">
        <f>IF($J78="","",INDEX('顧客一覧'!$G$5:$G$104,$J78)&amp;"")</f>
        <v/>
      </c>
      <c r="H78" s="23">
        <f>IF($J78="","",INDEX('顧客一覧'!$H$5:$H$104,$J78)&amp;"")</f>
        <v/>
      </c>
      <c r="I78" s="22">
        <f>IF($J78="","",INDEX('顧客一覧'!$J$5:$J$104,$J78))</f>
        <v/>
      </c>
      <c r="J78" s="33">
        <f>IFERROR(MATCH(SMALL('顧客一覧'!$O$5:$O$104,74),'顧客一覧'!$O$5:$O$104,0),"")</f>
        <v/>
      </c>
    </row>
    <row r="79">
      <c r="A79" s="23">
        <f>IF($J79="","",75)</f>
        <v/>
      </c>
      <c r="B79" s="22">
        <f>IF($J79="","",IF(INDEX('顧客一覧'!$M$5:$M$104,$J79)="","期日未定",INDEX('顧客一覧'!$M$5:$M$104,$J79)))</f>
        <v/>
      </c>
      <c r="C79" s="26">
        <f>IF($J79="","",IF(ISNUMBER($B79),$B79-$B$2,""))</f>
        <v/>
      </c>
      <c r="D79" s="23">
        <f>IF($J79="","",INDEX('顧客一覧'!$A$5:$A$104,$J79))</f>
        <v/>
      </c>
      <c r="E79" s="19">
        <f>IF($J79="","",INDEX('顧客一覧'!$C$5:$C$104,$J79)&amp;"")</f>
        <v/>
      </c>
      <c r="F79" s="19">
        <f>IF($J79="","",INDEX('顧客一覧'!$L$5:$L$104,$J79)&amp;"")</f>
        <v/>
      </c>
      <c r="G79" s="23">
        <f>IF($J79="","",INDEX('顧客一覧'!$G$5:$G$104,$J79)&amp;"")</f>
        <v/>
      </c>
      <c r="H79" s="23">
        <f>IF($J79="","",INDEX('顧客一覧'!$H$5:$H$104,$J79)&amp;"")</f>
        <v/>
      </c>
      <c r="I79" s="22">
        <f>IF($J79="","",INDEX('顧客一覧'!$J$5:$J$104,$J79))</f>
        <v/>
      </c>
      <c r="J79" s="33">
        <f>IFERROR(MATCH(SMALL('顧客一覧'!$O$5:$O$104,75),'顧客一覧'!$O$5:$O$104,0),"")</f>
        <v/>
      </c>
    </row>
    <row r="80">
      <c r="A80" s="23">
        <f>IF($J80="","",76)</f>
        <v/>
      </c>
      <c r="B80" s="22">
        <f>IF($J80="","",IF(INDEX('顧客一覧'!$M$5:$M$104,$J80)="","期日未定",INDEX('顧客一覧'!$M$5:$M$104,$J80)))</f>
        <v/>
      </c>
      <c r="C80" s="26">
        <f>IF($J80="","",IF(ISNUMBER($B80),$B80-$B$2,""))</f>
        <v/>
      </c>
      <c r="D80" s="23">
        <f>IF($J80="","",INDEX('顧客一覧'!$A$5:$A$104,$J80))</f>
        <v/>
      </c>
      <c r="E80" s="19">
        <f>IF($J80="","",INDEX('顧客一覧'!$C$5:$C$104,$J80)&amp;"")</f>
        <v/>
      </c>
      <c r="F80" s="19">
        <f>IF($J80="","",INDEX('顧客一覧'!$L$5:$L$104,$J80)&amp;"")</f>
        <v/>
      </c>
      <c r="G80" s="23">
        <f>IF($J80="","",INDEX('顧客一覧'!$G$5:$G$104,$J80)&amp;"")</f>
        <v/>
      </c>
      <c r="H80" s="23">
        <f>IF($J80="","",INDEX('顧客一覧'!$H$5:$H$104,$J80)&amp;"")</f>
        <v/>
      </c>
      <c r="I80" s="22">
        <f>IF($J80="","",INDEX('顧客一覧'!$J$5:$J$104,$J80))</f>
        <v/>
      </c>
      <c r="J80" s="33">
        <f>IFERROR(MATCH(SMALL('顧客一覧'!$O$5:$O$104,76),'顧客一覧'!$O$5:$O$104,0),"")</f>
        <v/>
      </c>
    </row>
    <row r="81">
      <c r="A81" s="23">
        <f>IF($J81="","",77)</f>
        <v/>
      </c>
      <c r="B81" s="22">
        <f>IF($J81="","",IF(INDEX('顧客一覧'!$M$5:$M$104,$J81)="","期日未定",INDEX('顧客一覧'!$M$5:$M$104,$J81)))</f>
        <v/>
      </c>
      <c r="C81" s="26">
        <f>IF($J81="","",IF(ISNUMBER($B81),$B81-$B$2,""))</f>
        <v/>
      </c>
      <c r="D81" s="23">
        <f>IF($J81="","",INDEX('顧客一覧'!$A$5:$A$104,$J81))</f>
        <v/>
      </c>
      <c r="E81" s="19">
        <f>IF($J81="","",INDEX('顧客一覧'!$C$5:$C$104,$J81)&amp;"")</f>
        <v/>
      </c>
      <c r="F81" s="19">
        <f>IF($J81="","",INDEX('顧客一覧'!$L$5:$L$104,$J81)&amp;"")</f>
        <v/>
      </c>
      <c r="G81" s="23">
        <f>IF($J81="","",INDEX('顧客一覧'!$G$5:$G$104,$J81)&amp;"")</f>
        <v/>
      </c>
      <c r="H81" s="23">
        <f>IF($J81="","",INDEX('顧客一覧'!$H$5:$H$104,$J81)&amp;"")</f>
        <v/>
      </c>
      <c r="I81" s="22">
        <f>IF($J81="","",INDEX('顧客一覧'!$J$5:$J$104,$J81))</f>
        <v/>
      </c>
      <c r="J81" s="33">
        <f>IFERROR(MATCH(SMALL('顧客一覧'!$O$5:$O$104,77),'顧客一覧'!$O$5:$O$104,0),"")</f>
        <v/>
      </c>
    </row>
    <row r="82">
      <c r="A82" s="23">
        <f>IF($J82="","",78)</f>
        <v/>
      </c>
      <c r="B82" s="22">
        <f>IF($J82="","",IF(INDEX('顧客一覧'!$M$5:$M$104,$J82)="","期日未定",INDEX('顧客一覧'!$M$5:$M$104,$J82)))</f>
        <v/>
      </c>
      <c r="C82" s="26">
        <f>IF($J82="","",IF(ISNUMBER($B82),$B82-$B$2,""))</f>
        <v/>
      </c>
      <c r="D82" s="23">
        <f>IF($J82="","",INDEX('顧客一覧'!$A$5:$A$104,$J82))</f>
        <v/>
      </c>
      <c r="E82" s="19">
        <f>IF($J82="","",INDEX('顧客一覧'!$C$5:$C$104,$J82)&amp;"")</f>
        <v/>
      </c>
      <c r="F82" s="19">
        <f>IF($J82="","",INDEX('顧客一覧'!$L$5:$L$104,$J82)&amp;"")</f>
        <v/>
      </c>
      <c r="G82" s="23">
        <f>IF($J82="","",INDEX('顧客一覧'!$G$5:$G$104,$J82)&amp;"")</f>
        <v/>
      </c>
      <c r="H82" s="23">
        <f>IF($J82="","",INDEX('顧客一覧'!$H$5:$H$104,$J82)&amp;"")</f>
        <v/>
      </c>
      <c r="I82" s="22">
        <f>IF($J82="","",INDEX('顧客一覧'!$J$5:$J$104,$J82))</f>
        <v/>
      </c>
      <c r="J82" s="33">
        <f>IFERROR(MATCH(SMALL('顧客一覧'!$O$5:$O$104,78),'顧客一覧'!$O$5:$O$104,0),"")</f>
        <v/>
      </c>
    </row>
    <row r="83">
      <c r="A83" s="23">
        <f>IF($J83="","",79)</f>
        <v/>
      </c>
      <c r="B83" s="22">
        <f>IF($J83="","",IF(INDEX('顧客一覧'!$M$5:$M$104,$J83)="","期日未定",INDEX('顧客一覧'!$M$5:$M$104,$J83)))</f>
        <v/>
      </c>
      <c r="C83" s="26">
        <f>IF($J83="","",IF(ISNUMBER($B83),$B83-$B$2,""))</f>
        <v/>
      </c>
      <c r="D83" s="23">
        <f>IF($J83="","",INDEX('顧客一覧'!$A$5:$A$104,$J83))</f>
        <v/>
      </c>
      <c r="E83" s="19">
        <f>IF($J83="","",INDEX('顧客一覧'!$C$5:$C$104,$J83)&amp;"")</f>
        <v/>
      </c>
      <c r="F83" s="19">
        <f>IF($J83="","",INDEX('顧客一覧'!$L$5:$L$104,$J83)&amp;"")</f>
        <v/>
      </c>
      <c r="G83" s="23">
        <f>IF($J83="","",INDEX('顧客一覧'!$G$5:$G$104,$J83)&amp;"")</f>
        <v/>
      </c>
      <c r="H83" s="23">
        <f>IF($J83="","",INDEX('顧客一覧'!$H$5:$H$104,$J83)&amp;"")</f>
        <v/>
      </c>
      <c r="I83" s="22">
        <f>IF($J83="","",INDEX('顧客一覧'!$J$5:$J$104,$J83))</f>
        <v/>
      </c>
      <c r="J83" s="33">
        <f>IFERROR(MATCH(SMALL('顧客一覧'!$O$5:$O$104,79),'顧客一覧'!$O$5:$O$104,0),"")</f>
        <v/>
      </c>
    </row>
    <row r="84">
      <c r="A84" s="23">
        <f>IF($J84="","",80)</f>
        <v/>
      </c>
      <c r="B84" s="22">
        <f>IF($J84="","",IF(INDEX('顧客一覧'!$M$5:$M$104,$J84)="","期日未定",INDEX('顧客一覧'!$M$5:$M$104,$J84)))</f>
        <v/>
      </c>
      <c r="C84" s="26">
        <f>IF($J84="","",IF(ISNUMBER($B84),$B84-$B$2,""))</f>
        <v/>
      </c>
      <c r="D84" s="23">
        <f>IF($J84="","",INDEX('顧客一覧'!$A$5:$A$104,$J84))</f>
        <v/>
      </c>
      <c r="E84" s="19">
        <f>IF($J84="","",INDEX('顧客一覧'!$C$5:$C$104,$J84)&amp;"")</f>
        <v/>
      </c>
      <c r="F84" s="19">
        <f>IF($J84="","",INDEX('顧客一覧'!$L$5:$L$104,$J84)&amp;"")</f>
        <v/>
      </c>
      <c r="G84" s="23">
        <f>IF($J84="","",INDEX('顧客一覧'!$G$5:$G$104,$J84)&amp;"")</f>
        <v/>
      </c>
      <c r="H84" s="23">
        <f>IF($J84="","",INDEX('顧客一覧'!$H$5:$H$104,$J84)&amp;"")</f>
        <v/>
      </c>
      <c r="I84" s="22">
        <f>IF($J84="","",INDEX('顧客一覧'!$J$5:$J$104,$J84))</f>
        <v/>
      </c>
      <c r="J84" s="33">
        <f>IFERROR(MATCH(SMALL('顧客一覧'!$O$5:$O$104,80),'顧客一覧'!$O$5:$O$104,0),"")</f>
        <v/>
      </c>
    </row>
    <row r="85">
      <c r="A85" s="23">
        <f>IF($J85="","",81)</f>
        <v/>
      </c>
      <c r="B85" s="22">
        <f>IF($J85="","",IF(INDEX('顧客一覧'!$M$5:$M$104,$J85)="","期日未定",INDEX('顧客一覧'!$M$5:$M$104,$J85)))</f>
        <v/>
      </c>
      <c r="C85" s="26">
        <f>IF($J85="","",IF(ISNUMBER($B85),$B85-$B$2,""))</f>
        <v/>
      </c>
      <c r="D85" s="23">
        <f>IF($J85="","",INDEX('顧客一覧'!$A$5:$A$104,$J85))</f>
        <v/>
      </c>
      <c r="E85" s="19">
        <f>IF($J85="","",INDEX('顧客一覧'!$C$5:$C$104,$J85)&amp;"")</f>
        <v/>
      </c>
      <c r="F85" s="19">
        <f>IF($J85="","",INDEX('顧客一覧'!$L$5:$L$104,$J85)&amp;"")</f>
        <v/>
      </c>
      <c r="G85" s="23">
        <f>IF($J85="","",INDEX('顧客一覧'!$G$5:$G$104,$J85)&amp;"")</f>
        <v/>
      </c>
      <c r="H85" s="23">
        <f>IF($J85="","",INDEX('顧客一覧'!$H$5:$H$104,$J85)&amp;"")</f>
        <v/>
      </c>
      <c r="I85" s="22">
        <f>IF($J85="","",INDEX('顧客一覧'!$J$5:$J$104,$J85))</f>
        <v/>
      </c>
      <c r="J85" s="33">
        <f>IFERROR(MATCH(SMALL('顧客一覧'!$O$5:$O$104,81),'顧客一覧'!$O$5:$O$104,0),"")</f>
        <v/>
      </c>
    </row>
    <row r="86">
      <c r="A86" s="23">
        <f>IF($J86="","",82)</f>
        <v/>
      </c>
      <c r="B86" s="22">
        <f>IF($J86="","",IF(INDEX('顧客一覧'!$M$5:$M$104,$J86)="","期日未定",INDEX('顧客一覧'!$M$5:$M$104,$J86)))</f>
        <v/>
      </c>
      <c r="C86" s="26">
        <f>IF($J86="","",IF(ISNUMBER($B86),$B86-$B$2,""))</f>
        <v/>
      </c>
      <c r="D86" s="23">
        <f>IF($J86="","",INDEX('顧客一覧'!$A$5:$A$104,$J86))</f>
        <v/>
      </c>
      <c r="E86" s="19">
        <f>IF($J86="","",INDEX('顧客一覧'!$C$5:$C$104,$J86)&amp;"")</f>
        <v/>
      </c>
      <c r="F86" s="19">
        <f>IF($J86="","",INDEX('顧客一覧'!$L$5:$L$104,$J86)&amp;"")</f>
        <v/>
      </c>
      <c r="G86" s="23">
        <f>IF($J86="","",INDEX('顧客一覧'!$G$5:$G$104,$J86)&amp;"")</f>
        <v/>
      </c>
      <c r="H86" s="23">
        <f>IF($J86="","",INDEX('顧客一覧'!$H$5:$H$104,$J86)&amp;"")</f>
        <v/>
      </c>
      <c r="I86" s="22">
        <f>IF($J86="","",INDEX('顧客一覧'!$J$5:$J$104,$J86))</f>
        <v/>
      </c>
      <c r="J86" s="33">
        <f>IFERROR(MATCH(SMALL('顧客一覧'!$O$5:$O$104,82),'顧客一覧'!$O$5:$O$104,0),"")</f>
        <v/>
      </c>
    </row>
    <row r="87">
      <c r="A87" s="23">
        <f>IF($J87="","",83)</f>
        <v/>
      </c>
      <c r="B87" s="22">
        <f>IF($J87="","",IF(INDEX('顧客一覧'!$M$5:$M$104,$J87)="","期日未定",INDEX('顧客一覧'!$M$5:$M$104,$J87)))</f>
        <v/>
      </c>
      <c r="C87" s="26">
        <f>IF($J87="","",IF(ISNUMBER($B87),$B87-$B$2,""))</f>
        <v/>
      </c>
      <c r="D87" s="23">
        <f>IF($J87="","",INDEX('顧客一覧'!$A$5:$A$104,$J87))</f>
        <v/>
      </c>
      <c r="E87" s="19">
        <f>IF($J87="","",INDEX('顧客一覧'!$C$5:$C$104,$J87)&amp;"")</f>
        <v/>
      </c>
      <c r="F87" s="19">
        <f>IF($J87="","",INDEX('顧客一覧'!$L$5:$L$104,$J87)&amp;"")</f>
        <v/>
      </c>
      <c r="G87" s="23">
        <f>IF($J87="","",INDEX('顧客一覧'!$G$5:$G$104,$J87)&amp;"")</f>
        <v/>
      </c>
      <c r="H87" s="23">
        <f>IF($J87="","",INDEX('顧客一覧'!$H$5:$H$104,$J87)&amp;"")</f>
        <v/>
      </c>
      <c r="I87" s="22">
        <f>IF($J87="","",INDEX('顧客一覧'!$J$5:$J$104,$J87))</f>
        <v/>
      </c>
      <c r="J87" s="33">
        <f>IFERROR(MATCH(SMALL('顧客一覧'!$O$5:$O$104,83),'顧客一覧'!$O$5:$O$104,0),"")</f>
        <v/>
      </c>
    </row>
    <row r="88">
      <c r="A88" s="23">
        <f>IF($J88="","",84)</f>
        <v/>
      </c>
      <c r="B88" s="22">
        <f>IF($J88="","",IF(INDEX('顧客一覧'!$M$5:$M$104,$J88)="","期日未定",INDEX('顧客一覧'!$M$5:$M$104,$J88)))</f>
        <v/>
      </c>
      <c r="C88" s="26">
        <f>IF($J88="","",IF(ISNUMBER($B88),$B88-$B$2,""))</f>
        <v/>
      </c>
      <c r="D88" s="23">
        <f>IF($J88="","",INDEX('顧客一覧'!$A$5:$A$104,$J88))</f>
        <v/>
      </c>
      <c r="E88" s="19">
        <f>IF($J88="","",INDEX('顧客一覧'!$C$5:$C$104,$J88)&amp;"")</f>
        <v/>
      </c>
      <c r="F88" s="19">
        <f>IF($J88="","",INDEX('顧客一覧'!$L$5:$L$104,$J88)&amp;"")</f>
        <v/>
      </c>
      <c r="G88" s="23">
        <f>IF($J88="","",INDEX('顧客一覧'!$G$5:$G$104,$J88)&amp;"")</f>
        <v/>
      </c>
      <c r="H88" s="23">
        <f>IF($J88="","",INDEX('顧客一覧'!$H$5:$H$104,$J88)&amp;"")</f>
        <v/>
      </c>
      <c r="I88" s="22">
        <f>IF($J88="","",INDEX('顧客一覧'!$J$5:$J$104,$J88))</f>
        <v/>
      </c>
      <c r="J88" s="33">
        <f>IFERROR(MATCH(SMALL('顧客一覧'!$O$5:$O$104,84),'顧客一覧'!$O$5:$O$104,0),"")</f>
        <v/>
      </c>
    </row>
    <row r="89">
      <c r="A89" s="23">
        <f>IF($J89="","",85)</f>
        <v/>
      </c>
      <c r="B89" s="22">
        <f>IF($J89="","",IF(INDEX('顧客一覧'!$M$5:$M$104,$J89)="","期日未定",INDEX('顧客一覧'!$M$5:$M$104,$J89)))</f>
        <v/>
      </c>
      <c r="C89" s="26">
        <f>IF($J89="","",IF(ISNUMBER($B89),$B89-$B$2,""))</f>
        <v/>
      </c>
      <c r="D89" s="23">
        <f>IF($J89="","",INDEX('顧客一覧'!$A$5:$A$104,$J89))</f>
        <v/>
      </c>
      <c r="E89" s="19">
        <f>IF($J89="","",INDEX('顧客一覧'!$C$5:$C$104,$J89)&amp;"")</f>
        <v/>
      </c>
      <c r="F89" s="19">
        <f>IF($J89="","",INDEX('顧客一覧'!$L$5:$L$104,$J89)&amp;"")</f>
        <v/>
      </c>
      <c r="G89" s="23">
        <f>IF($J89="","",INDEX('顧客一覧'!$G$5:$G$104,$J89)&amp;"")</f>
        <v/>
      </c>
      <c r="H89" s="23">
        <f>IF($J89="","",INDEX('顧客一覧'!$H$5:$H$104,$J89)&amp;"")</f>
        <v/>
      </c>
      <c r="I89" s="22">
        <f>IF($J89="","",INDEX('顧客一覧'!$J$5:$J$104,$J89))</f>
        <v/>
      </c>
      <c r="J89" s="33">
        <f>IFERROR(MATCH(SMALL('顧客一覧'!$O$5:$O$104,85),'顧客一覧'!$O$5:$O$104,0),"")</f>
        <v/>
      </c>
    </row>
    <row r="90">
      <c r="A90" s="23">
        <f>IF($J90="","",86)</f>
        <v/>
      </c>
      <c r="B90" s="22">
        <f>IF($J90="","",IF(INDEX('顧客一覧'!$M$5:$M$104,$J90)="","期日未定",INDEX('顧客一覧'!$M$5:$M$104,$J90)))</f>
        <v/>
      </c>
      <c r="C90" s="26">
        <f>IF($J90="","",IF(ISNUMBER($B90),$B90-$B$2,""))</f>
        <v/>
      </c>
      <c r="D90" s="23">
        <f>IF($J90="","",INDEX('顧客一覧'!$A$5:$A$104,$J90))</f>
        <v/>
      </c>
      <c r="E90" s="19">
        <f>IF($J90="","",INDEX('顧客一覧'!$C$5:$C$104,$J90)&amp;"")</f>
        <v/>
      </c>
      <c r="F90" s="19">
        <f>IF($J90="","",INDEX('顧客一覧'!$L$5:$L$104,$J90)&amp;"")</f>
        <v/>
      </c>
      <c r="G90" s="23">
        <f>IF($J90="","",INDEX('顧客一覧'!$G$5:$G$104,$J90)&amp;"")</f>
        <v/>
      </c>
      <c r="H90" s="23">
        <f>IF($J90="","",INDEX('顧客一覧'!$H$5:$H$104,$J90)&amp;"")</f>
        <v/>
      </c>
      <c r="I90" s="22">
        <f>IF($J90="","",INDEX('顧客一覧'!$J$5:$J$104,$J90))</f>
        <v/>
      </c>
      <c r="J90" s="33">
        <f>IFERROR(MATCH(SMALL('顧客一覧'!$O$5:$O$104,86),'顧客一覧'!$O$5:$O$104,0),"")</f>
        <v/>
      </c>
    </row>
    <row r="91">
      <c r="A91" s="23">
        <f>IF($J91="","",87)</f>
        <v/>
      </c>
      <c r="B91" s="22">
        <f>IF($J91="","",IF(INDEX('顧客一覧'!$M$5:$M$104,$J91)="","期日未定",INDEX('顧客一覧'!$M$5:$M$104,$J91)))</f>
        <v/>
      </c>
      <c r="C91" s="26">
        <f>IF($J91="","",IF(ISNUMBER($B91),$B91-$B$2,""))</f>
        <v/>
      </c>
      <c r="D91" s="23">
        <f>IF($J91="","",INDEX('顧客一覧'!$A$5:$A$104,$J91))</f>
        <v/>
      </c>
      <c r="E91" s="19">
        <f>IF($J91="","",INDEX('顧客一覧'!$C$5:$C$104,$J91)&amp;"")</f>
        <v/>
      </c>
      <c r="F91" s="19">
        <f>IF($J91="","",INDEX('顧客一覧'!$L$5:$L$104,$J91)&amp;"")</f>
        <v/>
      </c>
      <c r="G91" s="23">
        <f>IF($J91="","",INDEX('顧客一覧'!$G$5:$G$104,$J91)&amp;"")</f>
        <v/>
      </c>
      <c r="H91" s="23">
        <f>IF($J91="","",INDEX('顧客一覧'!$H$5:$H$104,$J91)&amp;"")</f>
        <v/>
      </c>
      <c r="I91" s="22">
        <f>IF($J91="","",INDEX('顧客一覧'!$J$5:$J$104,$J91))</f>
        <v/>
      </c>
      <c r="J91" s="33">
        <f>IFERROR(MATCH(SMALL('顧客一覧'!$O$5:$O$104,87),'顧客一覧'!$O$5:$O$104,0),"")</f>
        <v/>
      </c>
    </row>
    <row r="92">
      <c r="A92" s="23">
        <f>IF($J92="","",88)</f>
        <v/>
      </c>
      <c r="B92" s="22">
        <f>IF($J92="","",IF(INDEX('顧客一覧'!$M$5:$M$104,$J92)="","期日未定",INDEX('顧客一覧'!$M$5:$M$104,$J92)))</f>
        <v/>
      </c>
      <c r="C92" s="26">
        <f>IF($J92="","",IF(ISNUMBER($B92),$B92-$B$2,""))</f>
        <v/>
      </c>
      <c r="D92" s="23">
        <f>IF($J92="","",INDEX('顧客一覧'!$A$5:$A$104,$J92))</f>
        <v/>
      </c>
      <c r="E92" s="19">
        <f>IF($J92="","",INDEX('顧客一覧'!$C$5:$C$104,$J92)&amp;"")</f>
        <v/>
      </c>
      <c r="F92" s="19">
        <f>IF($J92="","",INDEX('顧客一覧'!$L$5:$L$104,$J92)&amp;"")</f>
        <v/>
      </c>
      <c r="G92" s="23">
        <f>IF($J92="","",INDEX('顧客一覧'!$G$5:$G$104,$J92)&amp;"")</f>
        <v/>
      </c>
      <c r="H92" s="23">
        <f>IF($J92="","",INDEX('顧客一覧'!$H$5:$H$104,$J92)&amp;"")</f>
        <v/>
      </c>
      <c r="I92" s="22">
        <f>IF($J92="","",INDEX('顧客一覧'!$J$5:$J$104,$J92))</f>
        <v/>
      </c>
      <c r="J92" s="33">
        <f>IFERROR(MATCH(SMALL('顧客一覧'!$O$5:$O$104,88),'顧客一覧'!$O$5:$O$104,0),"")</f>
        <v/>
      </c>
    </row>
    <row r="93">
      <c r="A93" s="23">
        <f>IF($J93="","",89)</f>
        <v/>
      </c>
      <c r="B93" s="22">
        <f>IF($J93="","",IF(INDEX('顧客一覧'!$M$5:$M$104,$J93)="","期日未定",INDEX('顧客一覧'!$M$5:$M$104,$J93)))</f>
        <v/>
      </c>
      <c r="C93" s="26">
        <f>IF($J93="","",IF(ISNUMBER($B93),$B93-$B$2,""))</f>
        <v/>
      </c>
      <c r="D93" s="23">
        <f>IF($J93="","",INDEX('顧客一覧'!$A$5:$A$104,$J93))</f>
        <v/>
      </c>
      <c r="E93" s="19">
        <f>IF($J93="","",INDEX('顧客一覧'!$C$5:$C$104,$J93)&amp;"")</f>
        <v/>
      </c>
      <c r="F93" s="19">
        <f>IF($J93="","",INDEX('顧客一覧'!$L$5:$L$104,$J93)&amp;"")</f>
        <v/>
      </c>
      <c r="G93" s="23">
        <f>IF($J93="","",INDEX('顧客一覧'!$G$5:$G$104,$J93)&amp;"")</f>
        <v/>
      </c>
      <c r="H93" s="23">
        <f>IF($J93="","",INDEX('顧客一覧'!$H$5:$H$104,$J93)&amp;"")</f>
        <v/>
      </c>
      <c r="I93" s="22">
        <f>IF($J93="","",INDEX('顧客一覧'!$J$5:$J$104,$J93))</f>
        <v/>
      </c>
      <c r="J93" s="33">
        <f>IFERROR(MATCH(SMALL('顧客一覧'!$O$5:$O$104,89),'顧客一覧'!$O$5:$O$104,0),"")</f>
        <v/>
      </c>
    </row>
    <row r="94">
      <c r="A94" s="23">
        <f>IF($J94="","",90)</f>
        <v/>
      </c>
      <c r="B94" s="22">
        <f>IF($J94="","",IF(INDEX('顧客一覧'!$M$5:$M$104,$J94)="","期日未定",INDEX('顧客一覧'!$M$5:$M$104,$J94)))</f>
        <v/>
      </c>
      <c r="C94" s="26">
        <f>IF($J94="","",IF(ISNUMBER($B94),$B94-$B$2,""))</f>
        <v/>
      </c>
      <c r="D94" s="23">
        <f>IF($J94="","",INDEX('顧客一覧'!$A$5:$A$104,$J94))</f>
        <v/>
      </c>
      <c r="E94" s="19">
        <f>IF($J94="","",INDEX('顧客一覧'!$C$5:$C$104,$J94)&amp;"")</f>
        <v/>
      </c>
      <c r="F94" s="19">
        <f>IF($J94="","",INDEX('顧客一覧'!$L$5:$L$104,$J94)&amp;"")</f>
        <v/>
      </c>
      <c r="G94" s="23">
        <f>IF($J94="","",INDEX('顧客一覧'!$G$5:$G$104,$J94)&amp;"")</f>
        <v/>
      </c>
      <c r="H94" s="23">
        <f>IF($J94="","",INDEX('顧客一覧'!$H$5:$H$104,$J94)&amp;"")</f>
        <v/>
      </c>
      <c r="I94" s="22">
        <f>IF($J94="","",INDEX('顧客一覧'!$J$5:$J$104,$J94))</f>
        <v/>
      </c>
      <c r="J94" s="33">
        <f>IFERROR(MATCH(SMALL('顧客一覧'!$O$5:$O$104,90),'顧客一覧'!$O$5:$O$104,0),"")</f>
        <v/>
      </c>
    </row>
    <row r="95">
      <c r="A95" s="23">
        <f>IF($J95="","",91)</f>
        <v/>
      </c>
      <c r="B95" s="22">
        <f>IF($J95="","",IF(INDEX('顧客一覧'!$M$5:$M$104,$J95)="","期日未定",INDEX('顧客一覧'!$M$5:$M$104,$J95)))</f>
        <v/>
      </c>
      <c r="C95" s="26">
        <f>IF($J95="","",IF(ISNUMBER($B95),$B95-$B$2,""))</f>
        <v/>
      </c>
      <c r="D95" s="23">
        <f>IF($J95="","",INDEX('顧客一覧'!$A$5:$A$104,$J95))</f>
        <v/>
      </c>
      <c r="E95" s="19">
        <f>IF($J95="","",INDEX('顧客一覧'!$C$5:$C$104,$J95)&amp;"")</f>
        <v/>
      </c>
      <c r="F95" s="19">
        <f>IF($J95="","",INDEX('顧客一覧'!$L$5:$L$104,$J95)&amp;"")</f>
        <v/>
      </c>
      <c r="G95" s="23">
        <f>IF($J95="","",INDEX('顧客一覧'!$G$5:$G$104,$J95)&amp;"")</f>
        <v/>
      </c>
      <c r="H95" s="23">
        <f>IF($J95="","",INDEX('顧客一覧'!$H$5:$H$104,$J95)&amp;"")</f>
        <v/>
      </c>
      <c r="I95" s="22">
        <f>IF($J95="","",INDEX('顧客一覧'!$J$5:$J$104,$J95))</f>
        <v/>
      </c>
      <c r="J95" s="33">
        <f>IFERROR(MATCH(SMALL('顧客一覧'!$O$5:$O$104,91),'顧客一覧'!$O$5:$O$104,0),"")</f>
        <v/>
      </c>
    </row>
    <row r="96">
      <c r="A96" s="23">
        <f>IF($J96="","",92)</f>
        <v/>
      </c>
      <c r="B96" s="22">
        <f>IF($J96="","",IF(INDEX('顧客一覧'!$M$5:$M$104,$J96)="","期日未定",INDEX('顧客一覧'!$M$5:$M$104,$J96)))</f>
        <v/>
      </c>
      <c r="C96" s="26">
        <f>IF($J96="","",IF(ISNUMBER($B96),$B96-$B$2,""))</f>
        <v/>
      </c>
      <c r="D96" s="23">
        <f>IF($J96="","",INDEX('顧客一覧'!$A$5:$A$104,$J96))</f>
        <v/>
      </c>
      <c r="E96" s="19">
        <f>IF($J96="","",INDEX('顧客一覧'!$C$5:$C$104,$J96)&amp;"")</f>
        <v/>
      </c>
      <c r="F96" s="19">
        <f>IF($J96="","",INDEX('顧客一覧'!$L$5:$L$104,$J96)&amp;"")</f>
        <v/>
      </c>
      <c r="G96" s="23">
        <f>IF($J96="","",INDEX('顧客一覧'!$G$5:$G$104,$J96)&amp;"")</f>
        <v/>
      </c>
      <c r="H96" s="23">
        <f>IF($J96="","",INDEX('顧客一覧'!$H$5:$H$104,$J96)&amp;"")</f>
        <v/>
      </c>
      <c r="I96" s="22">
        <f>IF($J96="","",INDEX('顧客一覧'!$J$5:$J$104,$J96))</f>
        <v/>
      </c>
      <c r="J96" s="33">
        <f>IFERROR(MATCH(SMALL('顧客一覧'!$O$5:$O$104,92),'顧客一覧'!$O$5:$O$104,0),"")</f>
        <v/>
      </c>
    </row>
    <row r="97">
      <c r="A97" s="23">
        <f>IF($J97="","",93)</f>
        <v/>
      </c>
      <c r="B97" s="22">
        <f>IF($J97="","",IF(INDEX('顧客一覧'!$M$5:$M$104,$J97)="","期日未定",INDEX('顧客一覧'!$M$5:$M$104,$J97)))</f>
        <v/>
      </c>
      <c r="C97" s="26">
        <f>IF($J97="","",IF(ISNUMBER($B97),$B97-$B$2,""))</f>
        <v/>
      </c>
      <c r="D97" s="23">
        <f>IF($J97="","",INDEX('顧客一覧'!$A$5:$A$104,$J97))</f>
        <v/>
      </c>
      <c r="E97" s="19">
        <f>IF($J97="","",INDEX('顧客一覧'!$C$5:$C$104,$J97)&amp;"")</f>
        <v/>
      </c>
      <c r="F97" s="19">
        <f>IF($J97="","",INDEX('顧客一覧'!$L$5:$L$104,$J97)&amp;"")</f>
        <v/>
      </c>
      <c r="G97" s="23">
        <f>IF($J97="","",INDEX('顧客一覧'!$G$5:$G$104,$J97)&amp;"")</f>
        <v/>
      </c>
      <c r="H97" s="23">
        <f>IF($J97="","",INDEX('顧客一覧'!$H$5:$H$104,$J97)&amp;"")</f>
        <v/>
      </c>
      <c r="I97" s="22">
        <f>IF($J97="","",INDEX('顧客一覧'!$J$5:$J$104,$J97))</f>
        <v/>
      </c>
      <c r="J97" s="33">
        <f>IFERROR(MATCH(SMALL('顧客一覧'!$O$5:$O$104,93),'顧客一覧'!$O$5:$O$104,0),"")</f>
        <v/>
      </c>
    </row>
    <row r="98">
      <c r="A98" s="23">
        <f>IF($J98="","",94)</f>
        <v/>
      </c>
      <c r="B98" s="22">
        <f>IF($J98="","",IF(INDEX('顧客一覧'!$M$5:$M$104,$J98)="","期日未定",INDEX('顧客一覧'!$M$5:$M$104,$J98)))</f>
        <v/>
      </c>
      <c r="C98" s="26">
        <f>IF($J98="","",IF(ISNUMBER($B98),$B98-$B$2,""))</f>
        <v/>
      </c>
      <c r="D98" s="23">
        <f>IF($J98="","",INDEX('顧客一覧'!$A$5:$A$104,$J98))</f>
        <v/>
      </c>
      <c r="E98" s="19">
        <f>IF($J98="","",INDEX('顧客一覧'!$C$5:$C$104,$J98)&amp;"")</f>
        <v/>
      </c>
      <c r="F98" s="19">
        <f>IF($J98="","",INDEX('顧客一覧'!$L$5:$L$104,$J98)&amp;"")</f>
        <v/>
      </c>
      <c r="G98" s="23">
        <f>IF($J98="","",INDEX('顧客一覧'!$G$5:$G$104,$J98)&amp;"")</f>
        <v/>
      </c>
      <c r="H98" s="23">
        <f>IF($J98="","",INDEX('顧客一覧'!$H$5:$H$104,$J98)&amp;"")</f>
        <v/>
      </c>
      <c r="I98" s="22">
        <f>IF($J98="","",INDEX('顧客一覧'!$J$5:$J$104,$J98))</f>
        <v/>
      </c>
      <c r="J98" s="33">
        <f>IFERROR(MATCH(SMALL('顧客一覧'!$O$5:$O$104,94),'顧客一覧'!$O$5:$O$104,0),"")</f>
        <v/>
      </c>
    </row>
    <row r="99">
      <c r="A99" s="23">
        <f>IF($J99="","",95)</f>
        <v/>
      </c>
      <c r="B99" s="22">
        <f>IF($J99="","",IF(INDEX('顧客一覧'!$M$5:$M$104,$J99)="","期日未定",INDEX('顧客一覧'!$M$5:$M$104,$J99)))</f>
        <v/>
      </c>
      <c r="C99" s="26">
        <f>IF($J99="","",IF(ISNUMBER($B99),$B99-$B$2,""))</f>
        <v/>
      </c>
      <c r="D99" s="23">
        <f>IF($J99="","",INDEX('顧客一覧'!$A$5:$A$104,$J99))</f>
        <v/>
      </c>
      <c r="E99" s="19">
        <f>IF($J99="","",INDEX('顧客一覧'!$C$5:$C$104,$J99)&amp;"")</f>
        <v/>
      </c>
      <c r="F99" s="19">
        <f>IF($J99="","",INDEX('顧客一覧'!$L$5:$L$104,$J99)&amp;"")</f>
        <v/>
      </c>
      <c r="G99" s="23">
        <f>IF($J99="","",INDEX('顧客一覧'!$G$5:$G$104,$J99)&amp;"")</f>
        <v/>
      </c>
      <c r="H99" s="23">
        <f>IF($J99="","",INDEX('顧客一覧'!$H$5:$H$104,$J99)&amp;"")</f>
        <v/>
      </c>
      <c r="I99" s="22">
        <f>IF($J99="","",INDEX('顧客一覧'!$J$5:$J$104,$J99))</f>
        <v/>
      </c>
      <c r="J99" s="33">
        <f>IFERROR(MATCH(SMALL('顧客一覧'!$O$5:$O$104,95),'顧客一覧'!$O$5:$O$104,0),"")</f>
        <v/>
      </c>
    </row>
    <row r="100">
      <c r="A100" s="23">
        <f>IF($J100="","",96)</f>
        <v/>
      </c>
      <c r="B100" s="22">
        <f>IF($J100="","",IF(INDEX('顧客一覧'!$M$5:$M$104,$J100)="","期日未定",INDEX('顧客一覧'!$M$5:$M$104,$J100)))</f>
        <v/>
      </c>
      <c r="C100" s="26">
        <f>IF($J100="","",IF(ISNUMBER($B100),$B100-$B$2,""))</f>
        <v/>
      </c>
      <c r="D100" s="23">
        <f>IF($J100="","",INDEX('顧客一覧'!$A$5:$A$104,$J100))</f>
        <v/>
      </c>
      <c r="E100" s="19">
        <f>IF($J100="","",INDEX('顧客一覧'!$C$5:$C$104,$J100)&amp;"")</f>
        <v/>
      </c>
      <c r="F100" s="19">
        <f>IF($J100="","",INDEX('顧客一覧'!$L$5:$L$104,$J100)&amp;"")</f>
        <v/>
      </c>
      <c r="G100" s="23">
        <f>IF($J100="","",INDEX('顧客一覧'!$G$5:$G$104,$J100)&amp;"")</f>
        <v/>
      </c>
      <c r="H100" s="23">
        <f>IF($J100="","",INDEX('顧客一覧'!$H$5:$H$104,$J100)&amp;"")</f>
        <v/>
      </c>
      <c r="I100" s="22">
        <f>IF($J100="","",INDEX('顧客一覧'!$J$5:$J$104,$J100))</f>
        <v/>
      </c>
      <c r="J100" s="33">
        <f>IFERROR(MATCH(SMALL('顧客一覧'!$O$5:$O$104,96),'顧客一覧'!$O$5:$O$104,0),"")</f>
        <v/>
      </c>
    </row>
    <row r="101">
      <c r="A101" s="23">
        <f>IF($J101="","",97)</f>
        <v/>
      </c>
      <c r="B101" s="22">
        <f>IF($J101="","",IF(INDEX('顧客一覧'!$M$5:$M$104,$J101)="","期日未定",INDEX('顧客一覧'!$M$5:$M$104,$J101)))</f>
        <v/>
      </c>
      <c r="C101" s="26">
        <f>IF($J101="","",IF(ISNUMBER($B101),$B101-$B$2,""))</f>
        <v/>
      </c>
      <c r="D101" s="23">
        <f>IF($J101="","",INDEX('顧客一覧'!$A$5:$A$104,$J101))</f>
        <v/>
      </c>
      <c r="E101" s="19">
        <f>IF($J101="","",INDEX('顧客一覧'!$C$5:$C$104,$J101)&amp;"")</f>
        <v/>
      </c>
      <c r="F101" s="19">
        <f>IF($J101="","",INDEX('顧客一覧'!$L$5:$L$104,$J101)&amp;"")</f>
        <v/>
      </c>
      <c r="G101" s="23">
        <f>IF($J101="","",INDEX('顧客一覧'!$G$5:$G$104,$J101)&amp;"")</f>
        <v/>
      </c>
      <c r="H101" s="23">
        <f>IF($J101="","",INDEX('顧客一覧'!$H$5:$H$104,$J101)&amp;"")</f>
        <v/>
      </c>
      <c r="I101" s="22">
        <f>IF($J101="","",INDEX('顧客一覧'!$J$5:$J$104,$J101))</f>
        <v/>
      </c>
      <c r="J101" s="33">
        <f>IFERROR(MATCH(SMALL('顧客一覧'!$O$5:$O$104,97),'顧客一覧'!$O$5:$O$104,0),"")</f>
        <v/>
      </c>
    </row>
    <row r="102">
      <c r="A102" s="23">
        <f>IF($J102="","",98)</f>
        <v/>
      </c>
      <c r="B102" s="22">
        <f>IF($J102="","",IF(INDEX('顧客一覧'!$M$5:$M$104,$J102)="","期日未定",INDEX('顧客一覧'!$M$5:$M$104,$J102)))</f>
        <v/>
      </c>
      <c r="C102" s="26">
        <f>IF($J102="","",IF(ISNUMBER($B102),$B102-$B$2,""))</f>
        <v/>
      </c>
      <c r="D102" s="23">
        <f>IF($J102="","",INDEX('顧客一覧'!$A$5:$A$104,$J102))</f>
        <v/>
      </c>
      <c r="E102" s="19">
        <f>IF($J102="","",INDEX('顧客一覧'!$C$5:$C$104,$J102)&amp;"")</f>
        <v/>
      </c>
      <c r="F102" s="19">
        <f>IF($J102="","",INDEX('顧客一覧'!$L$5:$L$104,$J102)&amp;"")</f>
        <v/>
      </c>
      <c r="G102" s="23">
        <f>IF($J102="","",INDEX('顧客一覧'!$G$5:$G$104,$J102)&amp;"")</f>
        <v/>
      </c>
      <c r="H102" s="23">
        <f>IF($J102="","",INDEX('顧客一覧'!$H$5:$H$104,$J102)&amp;"")</f>
        <v/>
      </c>
      <c r="I102" s="22">
        <f>IF($J102="","",INDEX('顧客一覧'!$J$5:$J$104,$J102))</f>
        <v/>
      </c>
      <c r="J102" s="33">
        <f>IFERROR(MATCH(SMALL('顧客一覧'!$O$5:$O$104,98),'顧客一覧'!$O$5:$O$104,0),"")</f>
        <v/>
      </c>
    </row>
    <row r="103">
      <c r="A103" s="23">
        <f>IF($J103="","",99)</f>
        <v/>
      </c>
      <c r="B103" s="22">
        <f>IF($J103="","",IF(INDEX('顧客一覧'!$M$5:$M$104,$J103)="","期日未定",INDEX('顧客一覧'!$M$5:$M$104,$J103)))</f>
        <v/>
      </c>
      <c r="C103" s="26">
        <f>IF($J103="","",IF(ISNUMBER($B103),$B103-$B$2,""))</f>
        <v/>
      </c>
      <c r="D103" s="23">
        <f>IF($J103="","",INDEX('顧客一覧'!$A$5:$A$104,$J103))</f>
        <v/>
      </c>
      <c r="E103" s="19">
        <f>IF($J103="","",INDEX('顧客一覧'!$C$5:$C$104,$J103)&amp;"")</f>
        <v/>
      </c>
      <c r="F103" s="19">
        <f>IF($J103="","",INDEX('顧客一覧'!$L$5:$L$104,$J103)&amp;"")</f>
        <v/>
      </c>
      <c r="G103" s="23">
        <f>IF($J103="","",INDEX('顧客一覧'!$G$5:$G$104,$J103)&amp;"")</f>
        <v/>
      </c>
      <c r="H103" s="23">
        <f>IF($J103="","",INDEX('顧客一覧'!$H$5:$H$104,$J103)&amp;"")</f>
        <v/>
      </c>
      <c r="I103" s="22">
        <f>IF($J103="","",INDEX('顧客一覧'!$J$5:$J$104,$J103))</f>
        <v/>
      </c>
      <c r="J103" s="33">
        <f>IFERROR(MATCH(SMALL('顧客一覧'!$O$5:$O$104,99),'顧客一覧'!$O$5:$O$104,0),"")</f>
        <v/>
      </c>
    </row>
    <row r="104">
      <c r="A104" s="23">
        <f>IF($J104="","",100)</f>
        <v/>
      </c>
      <c r="B104" s="22">
        <f>IF($J104="","",IF(INDEX('顧客一覧'!$M$5:$M$104,$J104)="","期日未定",INDEX('顧客一覧'!$M$5:$M$104,$J104)))</f>
        <v/>
      </c>
      <c r="C104" s="26">
        <f>IF($J104="","",IF(ISNUMBER($B104),$B104-$B$2,""))</f>
        <v/>
      </c>
      <c r="D104" s="23">
        <f>IF($J104="","",INDEX('顧客一覧'!$A$5:$A$104,$J104))</f>
        <v/>
      </c>
      <c r="E104" s="19">
        <f>IF($J104="","",INDEX('顧客一覧'!$C$5:$C$104,$J104)&amp;"")</f>
        <v/>
      </c>
      <c r="F104" s="19">
        <f>IF($J104="","",INDEX('顧客一覧'!$L$5:$L$104,$J104)&amp;"")</f>
        <v/>
      </c>
      <c r="G104" s="23">
        <f>IF($J104="","",INDEX('顧客一覧'!$G$5:$G$104,$J104)&amp;"")</f>
        <v/>
      </c>
      <c r="H104" s="23">
        <f>IF($J104="","",INDEX('顧客一覧'!$H$5:$H$104,$J104)&amp;"")</f>
        <v/>
      </c>
      <c r="I104" s="22">
        <f>IF($J104="","",INDEX('顧客一覧'!$J$5:$J$104,$J104))</f>
        <v/>
      </c>
      <c r="J104" s="33">
        <f>IFERROR(MATCH(SMALL('顧客一覧'!$O$5:$O$104,100),'顧客一覧'!$O$5:$O$104,0),"")</f>
        <v/>
      </c>
    </row>
  </sheetData>
  <mergeCells count="3">
    <mergeCell ref="A1:I1"/>
    <mergeCell ref="A3:I3"/>
    <mergeCell ref="C2:I2"/>
  </mergeCells>
  <conditionalFormatting sqref="A5:I104">
    <cfRule type="expression" priority="1" dxfId="0">
      <formula>AND(ISNUMBER($C5),$C5&lt;0)</formula>
    </cfRule>
    <cfRule type="expression" priority="2" dxfId="1">
      <formula>AND(ISNUMBER($C5),$C5&gt;=0,$C5&lt;=3)</formula>
    </cfRule>
  </conditionalFormatting>
  <pageMargins left="0.75" right="0.75" top="1" bottom="1" header="0.5" footer="0.5"/>
  <pageSetup orientation="landscape" fitToHeight="0" fitToWidth="1"/>
</worksheet>
</file>

<file path=xl/worksheets/sheet5.xml><?xml version="1.0" encoding="utf-8"?>
<worksheet xmlns="http://schemas.openxmlformats.org/spreadsheetml/2006/main">
  <sheetPr>
    <tabColor rgb="00B9C4CF"/>
    <outlinePr summaryBelow="1" summaryRight="1"/>
    <pageSetUpPr fitToPage="1"/>
  </sheetPr>
  <dimension ref="A1:P104"/>
  <sheetViews>
    <sheetView showGridLines="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7" customWidth="1" min="2" max="2"/>
    <col width="24" customWidth="1" min="3" max="3"/>
    <col width="21" customWidth="1" min="4" max="4"/>
    <col width="14" customWidth="1" min="5" max="5"/>
    <col width="26" customWidth="1" min="6" max="6"/>
    <col width="9" customWidth="1" min="7" max="7"/>
    <col width="9" customWidth="1" min="8" max="8"/>
    <col width="26" customWidth="1" min="9" max="9"/>
    <col width="12" customWidth="1" min="10" max="10"/>
    <col width="8" customWidth="1" min="11" max="11"/>
    <col width="28" customWidth="1" min="12" max="12"/>
    <col width="12" customWidth="1" min="13" max="13"/>
    <col width="15" customWidth="1" min="14" max="14"/>
    <col width="10" customWidth="1" min="15" max="15"/>
    <col width="10" customWidth="1" min="16" max="16"/>
  </cols>
  <sheetData>
    <row r="1" ht="24" customHeight="1">
      <c r="A1" s="30" t="inlineStr">
        <is>
          <t>顧客一覧（記入例・架空の5社）</t>
        </is>
      </c>
      <c r="B1" s="31" t="n"/>
      <c r="C1" s="31" t="n"/>
      <c r="D1" s="31" t="n"/>
      <c r="E1" s="31" t="n"/>
      <c r="F1" s="31" t="n"/>
      <c r="G1" s="31" t="n"/>
      <c r="H1" s="31" t="n"/>
      <c r="I1" s="31" t="n"/>
      <c r="J1" s="31" t="n"/>
      <c r="K1" s="31" t="n"/>
      <c r="L1" s="31" t="n"/>
      <c r="M1" s="31" t="n"/>
      <c r="N1" s="31" t="n"/>
      <c r="O1" s="31" t="n"/>
      <c r="P1" s="31" t="n"/>
    </row>
    <row r="2" ht="26" customHeight="1">
      <c r="A2" s="32" t="inlineStr">
        <is>
          <t>黄色は入力、灰色は数式です（触らない）。最終対応日・対応回数・次回アクション・状況は「対応履歴」から自動で出ます。記入例の基準日は 2026/10/1 に固定してあります。</t>
        </is>
      </c>
      <c r="B2" s="31" t="n"/>
      <c r="C2" s="31" t="n"/>
      <c r="D2" s="31" t="n"/>
      <c r="E2" s="31" t="n"/>
      <c r="F2" s="31" t="n"/>
      <c r="G2" s="31" t="n"/>
      <c r="H2" s="31" t="n"/>
      <c r="I2" s="31" t="n"/>
      <c r="J2" s="31" t="n"/>
      <c r="K2" s="31" t="n"/>
      <c r="L2" s="31" t="n"/>
      <c r="M2" s="31" t="n"/>
      <c r="N2" s="31" t="n"/>
      <c r="O2" s="31" t="n"/>
      <c r="P2" s="31" t="n"/>
    </row>
    <row r="3" ht="15" customHeight="1">
      <c r="A3" s="31" t="n"/>
      <c r="B3" s="31" t="n"/>
      <c r="C3" s="31" t="n"/>
      <c r="D3" s="31" t="n"/>
      <c r="E3" s="31" t="n"/>
      <c r="F3" s="31" t="n"/>
      <c r="G3" s="31" t="n"/>
      <c r="H3" s="31" t="n"/>
      <c r="I3" s="31" t="n"/>
      <c r="J3" s="32" t="inlineStr">
        <is>
          <t>▼ 対応履歴から自動で出る列</t>
        </is>
      </c>
      <c r="K3" s="31" t="n"/>
      <c r="L3" s="31" t="n"/>
      <c r="M3" s="31" t="n"/>
      <c r="N3" s="31" t="n"/>
      <c r="O3" s="32" t="inlineStr">
        <is>
          <t>▼ 作業列</t>
        </is>
      </c>
      <c r="P3" s="31" t="n"/>
    </row>
    <row r="4" ht="30" customHeight="1">
      <c r="A4" s="4" t="inlineStr">
        <is>
          <t>顧客ID</t>
        </is>
      </c>
      <c r="B4" s="4" t="inlineStr">
        <is>
          <t>区分</t>
        </is>
      </c>
      <c r="C4" s="4" t="inlineStr">
        <is>
          <t>会社名・氏名</t>
        </is>
      </c>
      <c r="D4" s="4" t="inlineStr">
        <is>
          <t>先方の担当者</t>
        </is>
      </c>
      <c r="E4" s="4" t="inlineStr">
        <is>
          <t>電話</t>
        </is>
      </c>
      <c r="F4" s="4" t="inlineStr">
        <is>
          <t>メール</t>
        </is>
      </c>
      <c r="G4" s="4" t="inlineStr">
        <is>
          <t>自社担当</t>
        </is>
      </c>
      <c r="H4" s="4" t="inlineStr">
        <is>
          <t>見込み度</t>
        </is>
      </c>
      <c r="I4" s="4" t="inlineStr">
        <is>
          <t>備考</t>
        </is>
      </c>
      <c r="J4" s="5" t="inlineStr">
        <is>
          <t>最終対応日</t>
        </is>
      </c>
      <c r="K4" s="5" t="inlineStr">
        <is>
          <t>対応回数</t>
        </is>
      </c>
      <c r="L4" s="5" t="inlineStr">
        <is>
          <t>次回アクション</t>
        </is>
      </c>
      <c r="M4" s="5" t="inlineStr">
        <is>
          <t>次回アクション日</t>
        </is>
      </c>
      <c r="N4" s="5" t="inlineStr">
        <is>
          <t>状況</t>
        </is>
      </c>
      <c r="O4" s="6" t="inlineStr">
        <is>
          <t>並べ替え用</t>
        </is>
      </c>
      <c r="P4" s="6" t="inlineStr">
        <is>
          <t>最新行キー</t>
        </is>
      </c>
    </row>
    <row r="5">
      <c r="A5" s="7" t="inlineStr">
        <is>
          <t>C001</t>
        </is>
      </c>
      <c r="B5" s="7" t="inlineStr">
        <is>
          <t>法人</t>
        </is>
      </c>
      <c r="C5" s="8" t="inlineStr">
        <is>
          <t>株式会社サンプル商事</t>
        </is>
      </c>
      <c r="D5" s="8" t="inlineStr">
        <is>
          <t>山田 花子（仕入課）</t>
        </is>
      </c>
      <c r="E5" s="8" t="inlineStr">
        <is>
          <t>03-0000-0001</t>
        </is>
      </c>
      <c r="F5" s="8" t="inlineStr">
        <is>
          <t>yamada@example.com</t>
        </is>
      </c>
      <c r="G5" s="7" t="inlineStr">
        <is>
          <t>佐藤</t>
        </is>
      </c>
      <c r="H5" s="7" t="inlineStr">
        <is>
          <t>A</t>
        </is>
      </c>
      <c r="I5" s="8" t="inlineStr">
        <is>
          <t>月末締め。請求書は郵送</t>
        </is>
      </c>
      <c r="J5" s="9">
        <f>IF($A5="","",IF($K5=0,"",_xlfn.MAXIFS('例_対応履歴'!$A$5:$A$304,'例_対応履歴'!$B$5:$B$304,$A5)))</f>
        <v/>
      </c>
      <c r="K5" s="10">
        <f>IF($A5="","",COUNTIF('例_対応履歴'!$B$5:$B$304,$A5))</f>
        <v/>
      </c>
      <c r="L5" s="11">
        <f>IF($P5="","",IFERROR(INDEX('例_対応履歴'!$G$5:$G$304,MATCH($P5,'例_対応履歴'!$J$5:$J$304,0))&amp;"",""))</f>
        <v/>
      </c>
      <c r="M5" s="9">
        <f>IF($P5="","",IFERROR(IF(INDEX('例_対応履歴'!$H$5:$H$304,MATCH($P5,'例_対応履歴'!$J$5:$J$304,0))="","",INDEX('例_対応履歴'!$H$5:$H$304,MATCH($P5,'例_対応履歴'!$J$5:$J$304,0))),""))</f>
        <v/>
      </c>
      <c r="N5" s="10">
        <f>IF($A5="","",IF($K5=0,"対応履歴なし",IF($M5="",IF($L5="","次回予定なし","期日未定"),IF($M5&lt;'例_次回アクション'!$B$2,"期日超過 "&amp;('例_次回アクション'!$B$2-$M5)&amp;"日",IF($M5='例_次回アクション'!$B$2,"今日","あと"&amp;($M5-'例_次回アクション'!$B$2)&amp;"日")))))</f>
        <v/>
      </c>
      <c r="O5" s="12">
        <f>IF($P5="","",IF($M5&lt;&gt;"",$M5+ROW()/100000,IF($L5&lt;&gt;"",100000+ROW()/100000,"")))</f>
        <v/>
      </c>
      <c r="P5" s="12">
        <f>IF(OR($A5="",$K5=0),"",_xlfn.MAXIFS('例_対応履歴'!$J$5:$J$304,'例_対応履歴'!$B$5:$B$304,$A5))</f>
        <v/>
      </c>
    </row>
    <row r="6">
      <c r="A6" s="7" t="inlineStr">
        <is>
          <t>C002</t>
        </is>
      </c>
      <c r="B6" s="7" t="inlineStr">
        <is>
          <t>法人</t>
        </is>
      </c>
      <c r="C6" s="8" t="inlineStr">
        <is>
          <t>サンプル建設株式会社</t>
        </is>
      </c>
      <c r="D6" s="8" t="inlineStr">
        <is>
          <t>田中 次郎（総務）</t>
        </is>
      </c>
      <c r="E6" s="8" t="inlineStr">
        <is>
          <t>03-0000-0002</t>
        </is>
      </c>
      <c r="F6" s="8" t="inlineStr">
        <is>
          <t>tanaka@example.com</t>
        </is>
      </c>
      <c r="G6" s="7" t="inlineStr">
        <is>
          <t>鈴木</t>
        </is>
      </c>
      <c r="H6" s="7" t="inlineStr">
        <is>
          <t>B</t>
        </is>
      </c>
      <c r="I6" s="8" t="inlineStr">
        <is>
          <t>現場は月ごとに変わる</t>
        </is>
      </c>
      <c r="J6" s="9">
        <f>IF($A6="","",IF($K6=0,"",_xlfn.MAXIFS('例_対応履歴'!$A$5:$A$304,'例_対応履歴'!$B$5:$B$304,$A6)))</f>
        <v/>
      </c>
      <c r="K6" s="10">
        <f>IF($A6="","",COUNTIF('例_対応履歴'!$B$5:$B$304,$A6))</f>
        <v/>
      </c>
      <c r="L6" s="11">
        <f>IF($P6="","",IFERROR(INDEX('例_対応履歴'!$G$5:$G$304,MATCH($P6,'例_対応履歴'!$J$5:$J$304,0))&amp;"",""))</f>
        <v/>
      </c>
      <c r="M6" s="9">
        <f>IF($P6="","",IFERROR(IF(INDEX('例_対応履歴'!$H$5:$H$304,MATCH($P6,'例_対応履歴'!$J$5:$J$304,0))="","",INDEX('例_対応履歴'!$H$5:$H$304,MATCH($P6,'例_対応履歴'!$J$5:$J$304,0))),""))</f>
        <v/>
      </c>
      <c r="N6" s="10">
        <f>IF($A6="","",IF($K6=0,"対応履歴なし",IF($M6="",IF($L6="","次回予定なし","期日未定"),IF($M6&lt;'例_次回アクション'!$B$2,"期日超過 "&amp;('例_次回アクション'!$B$2-$M6)&amp;"日",IF($M6='例_次回アクション'!$B$2,"今日","あと"&amp;($M6-'例_次回アクション'!$B$2)&amp;"日")))))</f>
        <v/>
      </c>
      <c r="O6" s="12">
        <f>IF($P6="","",IF($M6&lt;&gt;"",$M6+ROW()/100000,IF($L6&lt;&gt;"",100000+ROW()/100000,"")))</f>
        <v/>
      </c>
      <c r="P6" s="12">
        <f>IF(OR($A6="",$K6=0),"",_xlfn.MAXIFS('例_対応履歴'!$J$5:$J$304,'例_対応履歴'!$B$5:$B$304,$A6))</f>
        <v/>
      </c>
    </row>
    <row r="7">
      <c r="A7" s="7" t="inlineStr">
        <is>
          <t>C003</t>
        </is>
      </c>
      <c r="B7" s="7" t="inlineStr">
        <is>
          <t>法人</t>
        </is>
      </c>
      <c r="C7" s="8" t="inlineStr">
        <is>
          <t>株式会社サンプル工業</t>
        </is>
      </c>
      <c r="D7" s="8" t="inlineStr">
        <is>
          <t>松本 三郎（資材課）</t>
        </is>
      </c>
      <c r="E7" s="8" t="inlineStr">
        <is>
          <t>03-0000-0003</t>
        </is>
      </c>
      <c r="F7" s="8" t="inlineStr">
        <is>
          <t>matsumoto@example.com</t>
        </is>
      </c>
      <c r="G7" s="7" t="inlineStr">
        <is>
          <t>高橋</t>
        </is>
      </c>
      <c r="H7" s="7" t="inlineStr">
        <is>
          <t>B</t>
        </is>
      </c>
      <c r="I7" s="8" t="inlineStr">
        <is>
          <t>問い合わせフォームから来た</t>
        </is>
      </c>
      <c r="J7" s="9">
        <f>IF($A7="","",IF($K7=0,"",_xlfn.MAXIFS('例_対応履歴'!$A$5:$A$304,'例_対応履歴'!$B$5:$B$304,$A7)))</f>
        <v/>
      </c>
      <c r="K7" s="10">
        <f>IF($A7="","",COUNTIF('例_対応履歴'!$B$5:$B$304,$A7))</f>
        <v/>
      </c>
      <c r="L7" s="11">
        <f>IF($P7="","",IFERROR(INDEX('例_対応履歴'!$G$5:$G$304,MATCH($P7,'例_対応履歴'!$J$5:$J$304,0))&amp;"",""))</f>
        <v/>
      </c>
      <c r="M7" s="9">
        <f>IF($P7="","",IFERROR(IF(INDEX('例_対応履歴'!$H$5:$H$304,MATCH($P7,'例_対応履歴'!$J$5:$J$304,0))="","",INDEX('例_対応履歴'!$H$5:$H$304,MATCH($P7,'例_対応履歴'!$J$5:$J$304,0))),""))</f>
        <v/>
      </c>
      <c r="N7" s="10">
        <f>IF($A7="","",IF($K7=0,"対応履歴なし",IF($M7="",IF($L7="","次回予定なし","期日未定"),IF($M7&lt;'例_次回アクション'!$B$2,"期日超過 "&amp;('例_次回アクション'!$B$2-$M7)&amp;"日",IF($M7='例_次回アクション'!$B$2,"今日","あと"&amp;($M7-'例_次回アクション'!$B$2)&amp;"日")))))</f>
        <v/>
      </c>
      <c r="O7" s="12">
        <f>IF($P7="","",IF($M7&lt;&gt;"",$M7+ROW()/100000,IF($L7&lt;&gt;"",100000+ROW()/100000,"")))</f>
        <v/>
      </c>
      <c r="P7" s="12">
        <f>IF(OR($A7="",$K7=0),"",_xlfn.MAXIFS('例_対応履歴'!$J$5:$J$304,'例_対応履歴'!$B$5:$B$304,$A7))</f>
        <v/>
      </c>
    </row>
    <row r="8">
      <c r="A8" s="7" t="inlineStr">
        <is>
          <t>C004</t>
        </is>
      </c>
      <c r="B8" s="7" t="inlineStr">
        <is>
          <t>個人</t>
        </is>
      </c>
      <c r="C8" s="8" t="inlineStr">
        <is>
          <t>サンプル 花子</t>
        </is>
      </c>
      <c r="D8" s="8" t="n"/>
      <c r="E8" s="8" t="inlineStr">
        <is>
          <t>090-0000-0004</t>
        </is>
      </c>
      <c r="F8" s="8" t="inlineStr">
        <is>
          <t>hanako@example.com</t>
        </is>
      </c>
      <c r="G8" s="7" t="inlineStr">
        <is>
          <t>鈴木</t>
        </is>
      </c>
      <c r="H8" s="7" t="inlineStr">
        <is>
          <t>取引中</t>
        </is>
      </c>
      <c r="I8" s="8" t="inlineStr">
        <is>
          <t>連絡はメールを希望</t>
        </is>
      </c>
      <c r="J8" s="9">
        <f>IF($A8="","",IF($K8=0,"",_xlfn.MAXIFS('例_対応履歴'!$A$5:$A$304,'例_対応履歴'!$B$5:$B$304,$A8)))</f>
        <v/>
      </c>
      <c r="K8" s="10">
        <f>IF($A8="","",COUNTIF('例_対応履歴'!$B$5:$B$304,$A8))</f>
        <v/>
      </c>
      <c r="L8" s="11">
        <f>IF($P8="","",IFERROR(INDEX('例_対応履歴'!$G$5:$G$304,MATCH($P8,'例_対応履歴'!$J$5:$J$304,0))&amp;"",""))</f>
        <v/>
      </c>
      <c r="M8" s="9">
        <f>IF($P8="","",IFERROR(IF(INDEX('例_対応履歴'!$H$5:$H$304,MATCH($P8,'例_対応履歴'!$J$5:$J$304,0))="","",INDEX('例_対応履歴'!$H$5:$H$304,MATCH($P8,'例_対応履歴'!$J$5:$J$304,0))),""))</f>
        <v/>
      </c>
      <c r="N8" s="10">
        <f>IF($A8="","",IF($K8=0,"対応履歴なし",IF($M8="",IF($L8="","次回予定なし","期日未定"),IF($M8&lt;'例_次回アクション'!$B$2,"期日超過 "&amp;('例_次回アクション'!$B$2-$M8)&amp;"日",IF($M8='例_次回アクション'!$B$2,"今日","あと"&amp;($M8-'例_次回アクション'!$B$2)&amp;"日")))))</f>
        <v/>
      </c>
      <c r="O8" s="12">
        <f>IF($P8="","",IF($M8&lt;&gt;"",$M8+ROW()/100000,IF($L8&lt;&gt;"",100000+ROW()/100000,"")))</f>
        <v/>
      </c>
      <c r="P8" s="12">
        <f>IF(OR($A8="",$K8=0),"",_xlfn.MAXIFS('例_対応履歴'!$J$5:$J$304,'例_対応履歴'!$B$5:$B$304,$A8))</f>
        <v/>
      </c>
    </row>
    <row r="9">
      <c r="A9" s="7" t="inlineStr">
        <is>
          <t>C005</t>
        </is>
      </c>
      <c r="B9" s="7" t="inlineStr">
        <is>
          <t>個人</t>
        </is>
      </c>
      <c r="C9" s="8" t="inlineStr">
        <is>
          <t>サンプル 一郎</t>
        </is>
      </c>
      <c r="D9" s="8" t="n"/>
      <c r="E9" s="8" t="inlineStr">
        <is>
          <t>090-0000-0005</t>
        </is>
      </c>
      <c r="F9" s="8" t="n"/>
      <c r="G9" s="7" t="inlineStr">
        <is>
          <t>高橋</t>
        </is>
      </c>
      <c r="H9" s="7" t="inlineStr">
        <is>
          <t>C</t>
        </is>
      </c>
      <c r="I9" s="8" t="inlineStr">
        <is>
          <t>知人の紹介</t>
        </is>
      </c>
      <c r="J9" s="9">
        <f>IF($A9="","",IF($K9=0,"",_xlfn.MAXIFS('例_対応履歴'!$A$5:$A$304,'例_対応履歴'!$B$5:$B$304,$A9)))</f>
        <v/>
      </c>
      <c r="K9" s="10">
        <f>IF($A9="","",COUNTIF('例_対応履歴'!$B$5:$B$304,$A9))</f>
        <v/>
      </c>
      <c r="L9" s="11">
        <f>IF($P9="","",IFERROR(INDEX('例_対応履歴'!$G$5:$G$304,MATCH($P9,'例_対応履歴'!$J$5:$J$304,0))&amp;"",""))</f>
        <v/>
      </c>
      <c r="M9" s="9">
        <f>IF($P9="","",IFERROR(IF(INDEX('例_対応履歴'!$H$5:$H$304,MATCH($P9,'例_対応履歴'!$J$5:$J$304,0))="","",INDEX('例_対応履歴'!$H$5:$H$304,MATCH($P9,'例_対応履歴'!$J$5:$J$304,0))),""))</f>
        <v/>
      </c>
      <c r="N9" s="10">
        <f>IF($A9="","",IF($K9=0,"対応履歴なし",IF($M9="",IF($L9="","次回予定なし","期日未定"),IF($M9&lt;'例_次回アクション'!$B$2,"期日超過 "&amp;('例_次回アクション'!$B$2-$M9)&amp;"日",IF($M9='例_次回アクション'!$B$2,"今日","あと"&amp;($M9-'例_次回アクション'!$B$2)&amp;"日")))))</f>
        <v/>
      </c>
      <c r="O9" s="12">
        <f>IF($P9="","",IF($M9&lt;&gt;"",$M9+ROW()/100000,IF($L9&lt;&gt;"",100000+ROW()/100000,"")))</f>
        <v/>
      </c>
      <c r="P9" s="12">
        <f>IF(OR($A9="",$K9=0),"",_xlfn.MAXIFS('例_対応履歴'!$J$5:$J$304,'例_対応履歴'!$B$5:$B$304,$A9))</f>
        <v/>
      </c>
    </row>
    <row r="10">
      <c r="A10" s="7" t="n"/>
      <c r="B10" s="7" t="n"/>
      <c r="C10" s="8" t="n"/>
      <c r="D10" s="8" t="n"/>
      <c r="E10" s="8" t="n"/>
      <c r="F10" s="8" t="n"/>
      <c r="G10" s="7" t="n"/>
      <c r="H10" s="7" t="n"/>
      <c r="I10" s="8" t="n"/>
      <c r="J10" s="9">
        <f>IF($A10="","",IF($K10=0,"",_xlfn.MAXIFS('例_対応履歴'!$A$5:$A$304,'例_対応履歴'!$B$5:$B$304,$A10)))</f>
        <v/>
      </c>
      <c r="K10" s="10">
        <f>IF($A10="","",COUNTIF('例_対応履歴'!$B$5:$B$304,$A10))</f>
        <v/>
      </c>
      <c r="L10" s="11">
        <f>IF($P10="","",IFERROR(INDEX('例_対応履歴'!$G$5:$G$304,MATCH($P10,'例_対応履歴'!$J$5:$J$304,0))&amp;"",""))</f>
        <v/>
      </c>
      <c r="M10" s="9">
        <f>IF($P10="","",IFERROR(IF(INDEX('例_対応履歴'!$H$5:$H$304,MATCH($P10,'例_対応履歴'!$J$5:$J$304,0))="","",INDEX('例_対応履歴'!$H$5:$H$304,MATCH($P10,'例_対応履歴'!$J$5:$J$304,0))),""))</f>
        <v/>
      </c>
      <c r="N10" s="10">
        <f>IF($A10="","",IF($K10=0,"対応履歴なし",IF($M10="",IF($L10="","次回予定なし","期日未定"),IF($M10&lt;'例_次回アクション'!$B$2,"期日超過 "&amp;('例_次回アクション'!$B$2-$M10)&amp;"日",IF($M10='例_次回アクション'!$B$2,"今日","あと"&amp;($M10-'例_次回アクション'!$B$2)&amp;"日")))))</f>
        <v/>
      </c>
      <c r="O10" s="12">
        <f>IF($P10="","",IF($M10&lt;&gt;"",$M10+ROW()/100000,IF($L10&lt;&gt;"",100000+ROW()/100000,"")))</f>
        <v/>
      </c>
      <c r="P10" s="12">
        <f>IF(OR($A10="",$K10=0),"",_xlfn.MAXIFS('例_対応履歴'!$J$5:$J$304,'例_対応履歴'!$B$5:$B$304,$A10))</f>
        <v/>
      </c>
    </row>
    <row r="11">
      <c r="A11" s="7" t="n"/>
      <c r="B11" s="7" t="n"/>
      <c r="C11" s="8" t="n"/>
      <c r="D11" s="8" t="n"/>
      <c r="E11" s="8" t="n"/>
      <c r="F11" s="8" t="n"/>
      <c r="G11" s="7" t="n"/>
      <c r="H11" s="7" t="n"/>
      <c r="I11" s="8" t="n"/>
      <c r="J11" s="9">
        <f>IF($A11="","",IF($K11=0,"",_xlfn.MAXIFS('例_対応履歴'!$A$5:$A$304,'例_対応履歴'!$B$5:$B$304,$A11)))</f>
        <v/>
      </c>
      <c r="K11" s="10">
        <f>IF($A11="","",COUNTIF('例_対応履歴'!$B$5:$B$304,$A11))</f>
        <v/>
      </c>
      <c r="L11" s="11">
        <f>IF($P11="","",IFERROR(INDEX('例_対応履歴'!$G$5:$G$304,MATCH($P11,'例_対応履歴'!$J$5:$J$304,0))&amp;"",""))</f>
        <v/>
      </c>
      <c r="M11" s="9">
        <f>IF($P11="","",IFERROR(IF(INDEX('例_対応履歴'!$H$5:$H$304,MATCH($P11,'例_対応履歴'!$J$5:$J$304,0))="","",INDEX('例_対応履歴'!$H$5:$H$304,MATCH($P11,'例_対応履歴'!$J$5:$J$304,0))),""))</f>
        <v/>
      </c>
      <c r="N11" s="10">
        <f>IF($A11="","",IF($K11=0,"対応履歴なし",IF($M11="",IF($L11="","次回予定なし","期日未定"),IF($M11&lt;'例_次回アクション'!$B$2,"期日超過 "&amp;('例_次回アクション'!$B$2-$M11)&amp;"日",IF($M11='例_次回アクション'!$B$2,"今日","あと"&amp;($M11-'例_次回アクション'!$B$2)&amp;"日")))))</f>
        <v/>
      </c>
      <c r="O11" s="12">
        <f>IF($P11="","",IF($M11&lt;&gt;"",$M11+ROW()/100000,IF($L11&lt;&gt;"",100000+ROW()/100000,"")))</f>
        <v/>
      </c>
      <c r="P11" s="12">
        <f>IF(OR($A11="",$K11=0),"",_xlfn.MAXIFS('例_対応履歴'!$J$5:$J$304,'例_対応履歴'!$B$5:$B$304,$A11))</f>
        <v/>
      </c>
    </row>
    <row r="12">
      <c r="A12" s="7" t="n"/>
      <c r="B12" s="7" t="n"/>
      <c r="C12" s="8" t="n"/>
      <c r="D12" s="8" t="n"/>
      <c r="E12" s="8" t="n"/>
      <c r="F12" s="8" t="n"/>
      <c r="G12" s="7" t="n"/>
      <c r="H12" s="7" t="n"/>
      <c r="I12" s="8" t="n"/>
      <c r="J12" s="9">
        <f>IF($A12="","",IF($K12=0,"",_xlfn.MAXIFS('例_対応履歴'!$A$5:$A$304,'例_対応履歴'!$B$5:$B$304,$A12)))</f>
        <v/>
      </c>
      <c r="K12" s="10">
        <f>IF($A12="","",COUNTIF('例_対応履歴'!$B$5:$B$304,$A12))</f>
        <v/>
      </c>
      <c r="L12" s="11">
        <f>IF($P12="","",IFERROR(INDEX('例_対応履歴'!$G$5:$G$304,MATCH($P12,'例_対応履歴'!$J$5:$J$304,0))&amp;"",""))</f>
        <v/>
      </c>
      <c r="M12" s="9">
        <f>IF($P12="","",IFERROR(IF(INDEX('例_対応履歴'!$H$5:$H$304,MATCH($P12,'例_対応履歴'!$J$5:$J$304,0))="","",INDEX('例_対応履歴'!$H$5:$H$304,MATCH($P12,'例_対応履歴'!$J$5:$J$304,0))),""))</f>
        <v/>
      </c>
      <c r="N12" s="10">
        <f>IF($A12="","",IF($K12=0,"対応履歴なし",IF($M12="",IF($L12="","次回予定なし","期日未定"),IF($M12&lt;'例_次回アクション'!$B$2,"期日超過 "&amp;('例_次回アクション'!$B$2-$M12)&amp;"日",IF($M12='例_次回アクション'!$B$2,"今日","あと"&amp;($M12-'例_次回アクション'!$B$2)&amp;"日")))))</f>
        <v/>
      </c>
      <c r="O12" s="12">
        <f>IF($P12="","",IF($M12&lt;&gt;"",$M12+ROW()/100000,IF($L12&lt;&gt;"",100000+ROW()/100000,"")))</f>
        <v/>
      </c>
      <c r="P12" s="12">
        <f>IF(OR($A12="",$K12=0),"",_xlfn.MAXIFS('例_対応履歴'!$J$5:$J$304,'例_対応履歴'!$B$5:$B$304,$A12))</f>
        <v/>
      </c>
    </row>
    <row r="13">
      <c r="A13" s="7" t="n"/>
      <c r="B13" s="7" t="n"/>
      <c r="C13" s="8" t="n"/>
      <c r="D13" s="8" t="n"/>
      <c r="E13" s="8" t="n"/>
      <c r="F13" s="8" t="n"/>
      <c r="G13" s="7" t="n"/>
      <c r="H13" s="7" t="n"/>
      <c r="I13" s="8" t="n"/>
      <c r="J13" s="9">
        <f>IF($A13="","",IF($K13=0,"",_xlfn.MAXIFS('例_対応履歴'!$A$5:$A$304,'例_対応履歴'!$B$5:$B$304,$A13)))</f>
        <v/>
      </c>
      <c r="K13" s="10">
        <f>IF($A13="","",COUNTIF('例_対応履歴'!$B$5:$B$304,$A13))</f>
        <v/>
      </c>
      <c r="L13" s="11">
        <f>IF($P13="","",IFERROR(INDEX('例_対応履歴'!$G$5:$G$304,MATCH($P13,'例_対応履歴'!$J$5:$J$304,0))&amp;"",""))</f>
        <v/>
      </c>
      <c r="M13" s="9">
        <f>IF($P13="","",IFERROR(IF(INDEX('例_対応履歴'!$H$5:$H$304,MATCH($P13,'例_対応履歴'!$J$5:$J$304,0))="","",INDEX('例_対応履歴'!$H$5:$H$304,MATCH($P13,'例_対応履歴'!$J$5:$J$304,0))),""))</f>
        <v/>
      </c>
      <c r="N13" s="10">
        <f>IF($A13="","",IF($K13=0,"対応履歴なし",IF($M13="",IF($L13="","次回予定なし","期日未定"),IF($M13&lt;'例_次回アクション'!$B$2,"期日超過 "&amp;('例_次回アクション'!$B$2-$M13)&amp;"日",IF($M13='例_次回アクション'!$B$2,"今日","あと"&amp;($M13-'例_次回アクション'!$B$2)&amp;"日")))))</f>
        <v/>
      </c>
      <c r="O13" s="12">
        <f>IF($P13="","",IF($M13&lt;&gt;"",$M13+ROW()/100000,IF($L13&lt;&gt;"",100000+ROW()/100000,"")))</f>
        <v/>
      </c>
      <c r="P13" s="12">
        <f>IF(OR($A13="",$K13=0),"",_xlfn.MAXIFS('例_対応履歴'!$J$5:$J$304,'例_対応履歴'!$B$5:$B$304,$A13))</f>
        <v/>
      </c>
    </row>
    <row r="14">
      <c r="A14" s="7" t="n"/>
      <c r="B14" s="7" t="n"/>
      <c r="C14" s="8" t="n"/>
      <c r="D14" s="8" t="n"/>
      <c r="E14" s="8" t="n"/>
      <c r="F14" s="8" t="n"/>
      <c r="G14" s="7" t="n"/>
      <c r="H14" s="7" t="n"/>
      <c r="I14" s="8" t="n"/>
      <c r="J14" s="9">
        <f>IF($A14="","",IF($K14=0,"",_xlfn.MAXIFS('例_対応履歴'!$A$5:$A$304,'例_対応履歴'!$B$5:$B$304,$A14)))</f>
        <v/>
      </c>
      <c r="K14" s="10">
        <f>IF($A14="","",COUNTIF('例_対応履歴'!$B$5:$B$304,$A14))</f>
        <v/>
      </c>
      <c r="L14" s="11">
        <f>IF($P14="","",IFERROR(INDEX('例_対応履歴'!$G$5:$G$304,MATCH($P14,'例_対応履歴'!$J$5:$J$304,0))&amp;"",""))</f>
        <v/>
      </c>
      <c r="M14" s="9">
        <f>IF($P14="","",IFERROR(IF(INDEX('例_対応履歴'!$H$5:$H$304,MATCH($P14,'例_対応履歴'!$J$5:$J$304,0))="","",INDEX('例_対応履歴'!$H$5:$H$304,MATCH($P14,'例_対応履歴'!$J$5:$J$304,0))),""))</f>
        <v/>
      </c>
      <c r="N14" s="10">
        <f>IF($A14="","",IF($K14=0,"対応履歴なし",IF($M14="",IF($L14="","次回予定なし","期日未定"),IF($M14&lt;'例_次回アクション'!$B$2,"期日超過 "&amp;('例_次回アクション'!$B$2-$M14)&amp;"日",IF($M14='例_次回アクション'!$B$2,"今日","あと"&amp;($M14-'例_次回アクション'!$B$2)&amp;"日")))))</f>
        <v/>
      </c>
      <c r="O14" s="12">
        <f>IF($P14="","",IF($M14&lt;&gt;"",$M14+ROW()/100000,IF($L14&lt;&gt;"",100000+ROW()/100000,"")))</f>
        <v/>
      </c>
      <c r="P14" s="12">
        <f>IF(OR($A14="",$K14=0),"",_xlfn.MAXIFS('例_対応履歴'!$J$5:$J$304,'例_対応履歴'!$B$5:$B$304,$A14))</f>
        <v/>
      </c>
    </row>
    <row r="15">
      <c r="A15" s="7" t="n"/>
      <c r="B15" s="7" t="n"/>
      <c r="C15" s="8" t="n"/>
      <c r="D15" s="8" t="n"/>
      <c r="E15" s="8" t="n"/>
      <c r="F15" s="8" t="n"/>
      <c r="G15" s="7" t="n"/>
      <c r="H15" s="7" t="n"/>
      <c r="I15" s="8" t="n"/>
      <c r="J15" s="9">
        <f>IF($A15="","",IF($K15=0,"",_xlfn.MAXIFS('例_対応履歴'!$A$5:$A$304,'例_対応履歴'!$B$5:$B$304,$A15)))</f>
        <v/>
      </c>
      <c r="K15" s="10">
        <f>IF($A15="","",COUNTIF('例_対応履歴'!$B$5:$B$304,$A15))</f>
        <v/>
      </c>
      <c r="L15" s="11">
        <f>IF($P15="","",IFERROR(INDEX('例_対応履歴'!$G$5:$G$304,MATCH($P15,'例_対応履歴'!$J$5:$J$304,0))&amp;"",""))</f>
        <v/>
      </c>
      <c r="M15" s="9">
        <f>IF($P15="","",IFERROR(IF(INDEX('例_対応履歴'!$H$5:$H$304,MATCH($P15,'例_対応履歴'!$J$5:$J$304,0))="","",INDEX('例_対応履歴'!$H$5:$H$304,MATCH($P15,'例_対応履歴'!$J$5:$J$304,0))),""))</f>
        <v/>
      </c>
      <c r="N15" s="10">
        <f>IF($A15="","",IF($K15=0,"対応履歴なし",IF($M15="",IF($L15="","次回予定なし","期日未定"),IF($M15&lt;'例_次回アクション'!$B$2,"期日超過 "&amp;('例_次回アクション'!$B$2-$M15)&amp;"日",IF($M15='例_次回アクション'!$B$2,"今日","あと"&amp;($M15-'例_次回アクション'!$B$2)&amp;"日")))))</f>
        <v/>
      </c>
      <c r="O15" s="12">
        <f>IF($P15="","",IF($M15&lt;&gt;"",$M15+ROW()/100000,IF($L15&lt;&gt;"",100000+ROW()/100000,"")))</f>
        <v/>
      </c>
      <c r="P15" s="12">
        <f>IF(OR($A15="",$K15=0),"",_xlfn.MAXIFS('例_対応履歴'!$J$5:$J$304,'例_対応履歴'!$B$5:$B$304,$A15))</f>
        <v/>
      </c>
    </row>
    <row r="16">
      <c r="A16" s="7" t="n"/>
      <c r="B16" s="7" t="n"/>
      <c r="C16" s="8" t="n"/>
      <c r="D16" s="8" t="n"/>
      <c r="E16" s="8" t="n"/>
      <c r="F16" s="8" t="n"/>
      <c r="G16" s="7" t="n"/>
      <c r="H16" s="7" t="n"/>
      <c r="I16" s="8" t="n"/>
      <c r="J16" s="9">
        <f>IF($A16="","",IF($K16=0,"",_xlfn.MAXIFS('例_対応履歴'!$A$5:$A$304,'例_対応履歴'!$B$5:$B$304,$A16)))</f>
        <v/>
      </c>
      <c r="K16" s="10">
        <f>IF($A16="","",COUNTIF('例_対応履歴'!$B$5:$B$304,$A16))</f>
        <v/>
      </c>
      <c r="L16" s="11">
        <f>IF($P16="","",IFERROR(INDEX('例_対応履歴'!$G$5:$G$304,MATCH($P16,'例_対応履歴'!$J$5:$J$304,0))&amp;"",""))</f>
        <v/>
      </c>
      <c r="M16" s="9">
        <f>IF($P16="","",IFERROR(IF(INDEX('例_対応履歴'!$H$5:$H$304,MATCH($P16,'例_対応履歴'!$J$5:$J$304,0))="","",INDEX('例_対応履歴'!$H$5:$H$304,MATCH($P16,'例_対応履歴'!$J$5:$J$304,0))),""))</f>
        <v/>
      </c>
      <c r="N16" s="10">
        <f>IF($A16="","",IF($K16=0,"対応履歴なし",IF($M16="",IF($L16="","次回予定なし","期日未定"),IF($M16&lt;'例_次回アクション'!$B$2,"期日超過 "&amp;('例_次回アクション'!$B$2-$M16)&amp;"日",IF($M16='例_次回アクション'!$B$2,"今日","あと"&amp;($M16-'例_次回アクション'!$B$2)&amp;"日")))))</f>
        <v/>
      </c>
      <c r="O16" s="12">
        <f>IF($P16="","",IF($M16&lt;&gt;"",$M16+ROW()/100000,IF($L16&lt;&gt;"",100000+ROW()/100000,"")))</f>
        <v/>
      </c>
      <c r="P16" s="12">
        <f>IF(OR($A16="",$K16=0),"",_xlfn.MAXIFS('例_対応履歴'!$J$5:$J$304,'例_対応履歴'!$B$5:$B$304,$A16))</f>
        <v/>
      </c>
    </row>
    <row r="17">
      <c r="A17" s="7" t="n"/>
      <c r="B17" s="7" t="n"/>
      <c r="C17" s="8" t="n"/>
      <c r="D17" s="8" t="n"/>
      <c r="E17" s="8" t="n"/>
      <c r="F17" s="8" t="n"/>
      <c r="G17" s="7" t="n"/>
      <c r="H17" s="7" t="n"/>
      <c r="I17" s="8" t="n"/>
      <c r="J17" s="9">
        <f>IF($A17="","",IF($K17=0,"",_xlfn.MAXIFS('例_対応履歴'!$A$5:$A$304,'例_対応履歴'!$B$5:$B$304,$A17)))</f>
        <v/>
      </c>
      <c r="K17" s="10">
        <f>IF($A17="","",COUNTIF('例_対応履歴'!$B$5:$B$304,$A17))</f>
        <v/>
      </c>
      <c r="L17" s="11">
        <f>IF($P17="","",IFERROR(INDEX('例_対応履歴'!$G$5:$G$304,MATCH($P17,'例_対応履歴'!$J$5:$J$304,0))&amp;"",""))</f>
        <v/>
      </c>
      <c r="M17" s="9">
        <f>IF($P17="","",IFERROR(IF(INDEX('例_対応履歴'!$H$5:$H$304,MATCH($P17,'例_対応履歴'!$J$5:$J$304,0))="","",INDEX('例_対応履歴'!$H$5:$H$304,MATCH($P17,'例_対応履歴'!$J$5:$J$304,0))),""))</f>
        <v/>
      </c>
      <c r="N17" s="10">
        <f>IF($A17="","",IF($K17=0,"対応履歴なし",IF($M17="",IF($L17="","次回予定なし","期日未定"),IF($M17&lt;'例_次回アクション'!$B$2,"期日超過 "&amp;('例_次回アクション'!$B$2-$M17)&amp;"日",IF($M17='例_次回アクション'!$B$2,"今日","あと"&amp;($M17-'例_次回アクション'!$B$2)&amp;"日")))))</f>
        <v/>
      </c>
      <c r="O17" s="12">
        <f>IF($P17="","",IF($M17&lt;&gt;"",$M17+ROW()/100000,IF($L17&lt;&gt;"",100000+ROW()/100000,"")))</f>
        <v/>
      </c>
      <c r="P17" s="12">
        <f>IF(OR($A17="",$K17=0),"",_xlfn.MAXIFS('例_対応履歴'!$J$5:$J$304,'例_対応履歴'!$B$5:$B$304,$A17))</f>
        <v/>
      </c>
    </row>
    <row r="18">
      <c r="A18" s="7" t="n"/>
      <c r="B18" s="7" t="n"/>
      <c r="C18" s="8" t="n"/>
      <c r="D18" s="8" t="n"/>
      <c r="E18" s="8" t="n"/>
      <c r="F18" s="8" t="n"/>
      <c r="G18" s="7" t="n"/>
      <c r="H18" s="7" t="n"/>
      <c r="I18" s="8" t="n"/>
      <c r="J18" s="9">
        <f>IF($A18="","",IF($K18=0,"",_xlfn.MAXIFS('例_対応履歴'!$A$5:$A$304,'例_対応履歴'!$B$5:$B$304,$A18)))</f>
        <v/>
      </c>
      <c r="K18" s="10">
        <f>IF($A18="","",COUNTIF('例_対応履歴'!$B$5:$B$304,$A18))</f>
        <v/>
      </c>
      <c r="L18" s="11">
        <f>IF($P18="","",IFERROR(INDEX('例_対応履歴'!$G$5:$G$304,MATCH($P18,'例_対応履歴'!$J$5:$J$304,0))&amp;"",""))</f>
        <v/>
      </c>
      <c r="M18" s="9">
        <f>IF($P18="","",IFERROR(IF(INDEX('例_対応履歴'!$H$5:$H$304,MATCH($P18,'例_対応履歴'!$J$5:$J$304,0))="","",INDEX('例_対応履歴'!$H$5:$H$304,MATCH($P18,'例_対応履歴'!$J$5:$J$304,0))),""))</f>
        <v/>
      </c>
      <c r="N18" s="10">
        <f>IF($A18="","",IF($K18=0,"対応履歴なし",IF($M18="",IF($L18="","次回予定なし","期日未定"),IF($M18&lt;'例_次回アクション'!$B$2,"期日超過 "&amp;('例_次回アクション'!$B$2-$M18)&amp;"日",IF($M18='例_次回アクション'!$B$2,"今日","あと"&amp;($M18-'例_次回アクション'!$B$2)&amp;"日")))))</f>
        <v/>
      </c>
      <c r="O18" s="12">
        <f>IF($P18="","",IF($M18&lt;&gt;"",$M18+ROW()/100000,IF($L18&lt;&gt;"",100000+ROW()/100000,"")))</f>
        <v/>
      </c>
      <c r="P18" s="12">
        <f>IF(OR($A18="",$K18=0),"",_xlfn.MAXIFS('例_対応履歴'!$J$5:$J$304,'例_対応履歴'!$B$5:$B$304,$A18))</f>
        <v/>
      </c>
    </row>
    <row r="19">
      <c r="A19" s="7" t="n"/>
      <c r="B19" s="7" t="n"/>
      <c r="C19" s="8" t="n"/>
      <c r="D19" s="8" t="n"/>
      <c r="E19" s="8" t="n"/>
      <c r="F19" s="8" t="n"/>
      <c r="G19" s="7" t="n"/>
      <c r="H19" s="7" t="n"/>
      <c r="I19" s="8" t="n"/>
      <c r="J19" s="9">
        <f>IF($A19="","",IF($K19=0,"",_xlfn.MAXIFS('例_対応履歴'!$A$5:$A$304,'例_対応履歴'!$B$5:$B$304,$A19)))</f>
        <v/>
      </c>
      <c r="K19" s="10">
        <f>IF($A19="","",COUNTIF('例_対応履歴'!$B$5:$B$304,$A19))</f>
        <v/>
      </c>
      <c r="L19" s="11">
        <f>IF($P19="","",IFERROR(INDEX('例_対応履歴'!$G$5:$G$304,MATCH($P19,'例_対応履歴'!$J$5:$J$304,0))&amp;"",""))</f>
        <v/>
      </c>
      <c r="M19" s="9">
        <f>IF($P19="","",IFERROR(IF(INDEX('例_対応履歴'!$H$5:$H$304,MATCH($P19,'例_対応履歴'!$J$5:$J$304,0))="","",INDEX('例_対応履歴'!$H$5:$H$304,MATCH($P19,'例_対応履歴'!$J$5:$J$304,0))),""))</f>
        <v/>
      </c>
      <c r="N19" s="10">
        <f>IF($A19="","",IF($K19=0,"対応履歴なし",IF($M19="",IF($L19="","次回予定なし","期日未定"),IF($M19&lt;'例_次回アクション'!$B$2,"期日超過 "&amp;('例_次回アクション'!$B$2-$M19)&amp;"日",IF($M19='例_次回アクション'!$B$2,"今日","あと"&amp;($M19-'例_次回アクション'!$B$2)&amp;"日")))))</f>
        <v/>
      </c>
      <c r="O19" s="12">
        <f>IF($P19="","",IF($M19&lt;&gt;"",$M19+ROW()/100000,IF($L19&lt;&gt;"",100000+ROW()/100000,"")))</f>
        <v/>
      </c>
      <c r="P19" s="12">
        <f>IF(OR($A19="",$K19=0),"",_xlfn.MAXIFS('例_対応履歴'!$J$5:$J$304,'例_対応履歴'!$B$5:$B$304,$A19))</f>
        <v/>
      </c>
    </row>
    <row r="20">
      <c r="A20" s="7" t="n"/>
      <c r="B20" s="7" t="n"/>
      <c r="C20" s="8" t="n"/>
      <c r="D20" s="8" t="n"/>
      <c r="E20" s="8" t="n"/>
      <c r="F20" s="8" t="n"/>
      <c r="G20" s="7" t="n"/>
      <c r="H20" s="7" t="n"/>
      <c r="I20" s="8" t="n"/>
      <c r="J20" s="9">
        <f>IF($A20="","",IF($K20=0,"",_xlfn.MAXIFS('例_対応履歴'!$A$5:$A$304,'例_対応履歴'!$B$5:$B$304,$A20)))</f>
        <v/>
      </c>
      <c r="K20" s="10">
        <f>IF($A20="","",COUNTIF('例_対応履歴'!$B$5:$B$304,$A20))</f>
        <v/>
      </c>
      <c r="L20" s="11">
        <f>IF($P20="","",IFERROR(INDEX('例_対応履歴'!$G$5:$G$304,MATCH($P20,'例_対応履歴'!$J$5:$J$304,0))&amp;"",""))</f>
        <v/>
      </c>
      <c r="M20" s="9">
        <f>IF($P20="","",IFERROR(IF(INDEX('例_対応履歴'!$H$5:$H$304,MATCH($P20,'例_対応履歴'!$J$5:$J$304,0))="","",INDEX('例_対応履歴'!$H$5:$H$304,MATCH($P20,'例_対応履歴'!$J$5:$J$304,0))),""))</f>
        <v/>
      </c>
      <c r="N20" s="10">
        <f>IF($A20="","",IF($K20=0,"対応履歴なし",IF($M20="",IF($L20="","次回予定なし","期日未定"),IF($M20&lt;'例_次回アクション'!$B$2,"期日超過 "&amp;('例_次回アクション'!$B$2-$M20)&amp;"日",IF($M20='例_次回アクション'!$B$2,"今日","あと"&amp;($M20-'例_次回アクション'!$B$2)&amp;"日")))))</f>
        <v/>
      </c>
      <c r="O20" s="12">
        <f>IF($P20="","",IF($M20&lt;&gt;"",$M20+ROW()/100000,IF($L20&lt;&gt;"",100000+ROW()/100000,"")))</f>
        <v/>
      </c>
      <c r="P20" s="12">
        <f>IF(OR($A20="",$K20=0),"",_xlfn.MAXIFS('例_対応履歴'!$J$5:$J$304,'例_対応履歴'!$B$5:$B$304,$A20))</f>
        <v/>
      </c>
    </row>
    <row r="21">
      <c r="A21" s="7" t="n"/>
      <c r="B21" s="7" t="n"/>
      <c r="C21" s="8" t="n"/>
      <c r="D21" s="8" t="n"/>
      <c r="E21" s="8" t="n"/>
      <c r="F21" s="8" t="n"/>
      <c r="G21" s="7" t="n"/>
      <c r="H21" s="7" t="n"/>
      <c r="I21" s="8" t="n"/>
      <c r="J21" s="9">
        <f>IF($A21="","",IF($K21=0,"",_xlfn.MAXIFS('例_対応履歴'!$A$5:$A$304,'例_対応履歴'!$B$5:$B$304,$A21)))</f>
        <v/>
      </c>
      <c r="K21" s="10">
        <f>IF($A21="","",COUNTIF('例_対応履歴'!$B$5:$B$304,$A21))</f>
        <v/>
      </c>
      <c r="L21" s="11">
        <f>IF($P21="","",IFERROR(INDEX('例_対応履歴'!$G$5:$G$304,MATCH($P21,'例_対応履歴'!$J$5:$J$304,0))&amp;"",""))</f>
        <v/>
      </c>
      <c r="M21" s="9">
        <f>IF($P21="","",IFERROR(IF(INDEX('例_対応履歴'!$H$5:$H$304,MATCH($P21,'例_対応履歴'!$J$5:$J$304,0))="","",INDEX('例_対応履歴'!$H$5:$H$304,MATCH($P21,'例_対応履歴'!$J$5:$J$304,0))),""))</f>
        <v/>
      </c>
      <c r="N21" s="10">
        <f>IF($A21="","",IF($K21=0,"対応履歴なし",IF($M21="",IF($L21="","次回予定なし","期日未定"),IF($M21&lt;'例_次回アクション'!$B$2,"期日超過 "&amp;('例_次回アクション'!$B$2-$M21)&amp;"日",IF($M21='例_次回アクション'!$B$2,"今日","あと"&amp;($M21-'例_次回アクション'!$B$2)&amp;"日")))))</f>
        <v/>
      </c>
      <c r="O21" s="12">
        <f>IF($P21="","",IF($M21&lt;&gt;"",$M21+ROW()/100000,IF($L21&lt;&gt;"",100000+ROW()/100000,"")))</f>
        <v/>
      </c>
      <c r="P21" s="12">
        <f>IF(OR($A21="",$K21=0),"",_xlfn.MAXIFS('例_対応履歴'!$J$5:$J$304,'例_対応履歴'!$B$5:$B$304,$A21))</f>
        <v/>
      </c>
    </row>
    <row r="22">
      <c r="A22" s="7" t="n"/>
      <c r="B22" s="7" t="n"/>
      <c r="C22" s="8" t="n"/>
      <c r="D22" s="8" t="n"/>
      <c r="E22" s="8" t="n"/>
      <c r="F22" s="8" t="n"/>
      <c r="G22" s="7" t="n"/>
      <c r="H22" s="7" t="n"/>
      <c r="I22" s="8" t="n"/>
      <c r="J22" s="9">
        <f>IF($A22="","",IF($K22=0,"",_xlfn.MAXIFS('例_対応履歴'!$A$5:$A$304,'例_対応履歴'!$B$5:$B$304,$A22)))</f>
        <v/>
      </c>
      <c r="K22" s="10">
        <f>IF($A22="","",COUNTIF('例_対応履歴'!$B$5:$B$304,$A22))</f>
        <v/>
      </c>
      <c r="L22" s="11">
        <f>IF($P22="","",IFERROR(INDEX('例_対応履歴'!$G$5:$G$304,MATCH($P22,'例_対応履歴'!$J$5:$J$304,0))&amp;"",""))</f>
        <v/>
      </c>
      <c r="M22" s="9">
        <f>IF($P22="","",IFERROR(IF(INDEX('例_対応履歴'!$H$5:$H$304,MATCH($P22,'例_対応履歴'!$J$5:$J$304,0))="","",INDEX('例_対応履歴'!$H$5:$H$304,MATCH($P22,'例_対応履歴'!$J$5:$J$304,0))),""))</f>
        <v/>
      </c>
      <c r="N22" s="10">
        <f>IF($A22="","",IF($K22=0,"対応履歴なし",IF($M22="",IF($L22="","次回予定なし","期日未定"),IF($M22&lt;'例_次回アクション'!$B$2,"期日超過 "&amp;('例_次回アクション'!$B$2-$M22)&amp;"日",IF($M22='例_次回アクション'!$B$2,"今日","あと"&amp;($M22-'例_次回アクション'!$B$2)&amp;"日")))))</f>
        <v/>
      </c>
      <c r="O22" s="12">
        <f>IF($P22="","",IF($M22&lt;&gt;"",$M22+ROW()/100000,IF($L22&lt;&gt;"",100000+ROW()/100000,"")))</f>
        <v/>
      </c>
      <c r="P22" s="12">
        <f>IF(OR($A22="",$K22=0),"",_xlfn.MAXIFS('例_対応履歴'!$J$5:$J$304,'例_対応履歴'!$B$5:$B$304,$A22))</f>
        <v/>
      </c>
    </row>
    <row r="23">
      <c r="A23" s="7" t="n"/>
      <c r="B23" s="7" t="n"/>
      <c r="C23" s="8" t="n"/>
      <c r="D23" s="8" t="n"/>
      <c r="E23" s="8" t="n"/>
      <c r="F23" s="8" t="n"/>
      <c r="G23" s="7" t="n"/>
      <c r="H23" s="7" t="n"/>
      <c r="I23" s="8" t="n"/>
      <c r="J23" s="9">
        <f>IF($A23="","",IF($K23=0,"",_xlfn.MAXIFS('例_対応履歴'!$A$5:$A$304,'例_対応履歴'!$B$5:$B$304,$A23)))</f>
        <v/>
      </c>
      <c r="K23" s="10">
        <f>IF($A23="","",COUNTIF('例_対応履歴'!$B$5:$B$304,$A23))</f>
        <v/>
      </c>
      <c r="L23" s="11">
        <f>IF($P23="","",IFERROR(INDEX('例_対応履歴'!$G$5:$G$304,MATCH($P23,'例_対応履歴'!$J$5:$J$304,0))&amp;"",""))</f>
        <v/>
      </c>
      <c r="M23" s="9">
        <f>IF($P23="","",IFERROR(IF(INDEX('例_対応履歴'!$H$5:$H$304,MATCH($P23,'例_対応履歴'!$J$5:$J$304,0))="","",INDEX('例_対応履歴'!$H$5:$H$304,MATCH($P23,'例_対応履歴'!$J$5:$J$304,0))),""))</f>
        <v/>
      </c>
      <c r="N23" s="10">
        <f>IF($A23="","",IF($K23=0,"対応履歴なし",IF($M23="",IF($L23="","次回予定なし","期日未定"),IF($M23&lt;'例_次回アクション'!$B$2,"期日超過 "&amp;('例_次回アクション'!$B$2-$M23)&amp;"日",IF($M23='例_次回アクション'!$B$2,"今日","あと"&amp;($M23-'例_次回アクション'!$B$2)&amp;"日")))))</f>
        <v/>
      </c>
      <c r="O23" s="12">
        <f>IF($P23="","",IF($M23&lt;&gt;"",$M23+ROW()/100000,IF($L23&lt;&gt;"",100000+ROW()/100000,"")))</f>
        <v/>
      </c>
      <c r="P23" s="12">
        <f>IF(OR($A23="",$K23=0),"",_xlfn.MAXIFS('例_対応履歴'!$J$5:$J$304,'例_対応履歴'!$B$5:$B$304,$A23))</f>
        <v/>
      </c>
    </row>
    <row r="24">
      <c r="A24" s="7" t="n"/>
      <c r="B24" s="7" t="n"/>
      <c r="C24" s="8" t="n"/>
      <c r="D24" s="8" t="n"/>
      <c r="E24" s="8" t="n"/>
      <c r="F24" s="8" t="n"/>
      <c r="G24" s="7" t="n"/>
      <c r="H24" s="7" t="n"/>
      <c r="I24" s="8" t="n"/>
      <c r="J24" s="9">
        <f>IF($A24="","",IF($K24=0,"",_xlfn.MAXIFS('例_対応履歴'!$A$5:$A$304,'例_対応履歴'!$B$5:$B$304,$A24)))</f>
        <v/>
      </c>
      <c r="K24" s="10">
        <f>IF($A24="","",COUNTIF('例_対応履歴'!$B$5:$B$304,$A24))</f>
        <v/>
      </c>
      <c r="L24" s="11">
        <f>IF($P24="","",IFERROR(INDEX('例_対応履歴'!$G$5:$G$304,MATCH($P24,'例_対応履歴'!$J$5:$J$304,0))&amp;"",""))</f>
        <v/>
      </c>
      <c r="M24" s="9">
        <f>IF($P24="","",IFERROR(IF(INDEX('例_対応履歴'!$H$5:$H$304,MATCH($P24,'例_対応履歴'!$J$5:$J$304,0))="","",INDEX('例_対応履歴'!$H$5:$H$304,MATCH($P24,'例_対応履歴'!$J$5:$J$304,0))),""))</f>
        <v/>
      </c>
      <c r="N24" s="10">
        <f>IF($A24="","",IF($K24=0,"対応履歴なし",IF($M24="",IF($L24="","次回予定なし","期日未定"),IF($M24&lt;'例_次回アクション'!$B$2,"期日超過 "&amp;('例_次回アクション'!$B$2-$M24)&amp;"日",IF($M24='例_次回アクション'!$B$2,"今日","あと"&amp;($M24-'例_次回アクション'!$B$2)&amp;"日")))))</f>
        <v/>
      </c>
      <c r="O24" s="12">
        <f>IF($P24="","",IF($M24&lt;&gt;"",$M24+ROW()/100000,IF($L24&lt;&gt;"",100000+ROW()/100000,"")))</f>
        <v/>
      </c>
      <c r="P24" s="12">
        <f>IF(OR($A24="",$K24=0),"",_xlfn.MAXIFS('例_対応履歴'!$J$5:$J$304,'例_対応履歴'!$B$5:$B$304,$A24))</f>
        <v/>
      </c>
    </row>
    <row r="25">
      <c r="A25" s="7" t="n"/>
      <c r="B25" s="7" t="n"/>
      <c r="C25" s="8" t="n"/>
      <c r="D25" s="8" t="n"/>
      <c r="E25" s="8" t="n"/>
      <c r="F25" s="8" t="n"/>
      <c r="G25" s="7" t="n"/>
      <c r="H25" s="7" t="n"/>
      <c r="I25" s="8" t="n"/>
      <c r="J25" s="9">
        <f>IF($A25="","",IF($K25=0,"",_xlfn.MAXIFS('例_対応履歴'!$A$5:$A$304,'例_対応履歴'!$B$5:$B$304,$A25)))</f>
        <v/>
      </c>
      <c r="K25" s="10">
        <f>IF($A25="","",COUNTIF('例_対応履歴'!$B$5:$B$304,$A25))</f>
        <v/>
      </c>
      <c r="L25" s="11">
        <f>IF($P25="","",IFERROR(INDEX('例_対応履歴'!$G$5:$G$304,MATCH($P25,'例_対応履歴'!$J$5:$J$304,0))&amp;"",""))</f>
        <v/>
      </c>
      <c r="M25" s="9">
        <f>IF($P25="","",IFERROR(IF(INDEX('例_対応履歴'!$H$5:$H$304,MATCH($P25,'例_対応履歴'!$J$5:$J$304,0))="","",INDEX('例_対応履歴'!$H$5:$H$304,MATCH($P25,'例_対応履歴'!$J$5:$J$304,0))),""))</f>
        <v/>
      </c>
      <c r="N25" s="10">
        <f>IF($A25="","",IF($K25=0,"対応履歴なし",IF($M25="",IF($L25="","次回予定なし","期日未定"),IF($M25&lt;'例_次回アクション'!$B$2,"期日超過 "&amp;('例_次回アクション'!$B$2-$M25)&amp;"日",IF($M25='例_次回アクション'!$B$2,"今日","あと"&amp;($M25-'例_次回アクション'!$B$2)&amp;"日")))))</f>
        <v/>
      </c>
      <c r="O25" s="12">
        <f>IF($P25="","",IF($M25&lt;&gt;"",$M25+ROW()/100000,IF($L25&lt;&gt;"",100000+ROW()/100000,"")))</f>
        <v/>
      </c>
      <c r="P25" s="12">
        <f>IF(OR($A25="",$K25=0),"",_xlfn.MAXIFS('例_対応履歴'!$J$5:$J$304,'例_対応履歴'!$B$5:$B$304,$A25))</f>
        <v/>
      </c>
    </row>
    <row r="26">
      <c r="A26" s="7" t="n"/>
      <c r="B26" s="7" t="n"/>
      <c r="C26" s="8" t="n"/>
      <c r="D26" s="8" t="n"/>
      <c r="E26" s="8" t="n"/>
      <c r="F26" s="8" t="n"/>
      <c r="G26" s="7" t="n"/>
      <c r="H26" s="7" t="n"/>
      <c r="I26" s="8" t="n"/>
      <c r="J26" s="9">
        <f>IF($A26="","",IF($K26=0,"",_xlfn.MAXIFS('例_対応履歴'!$A$5:$A$304,'例_対応履歴'!$B$5:$B$304,$A26)))</f>
        <v/>
      </c>
      <c r="K26" s="10">
        <f>IF($A26="","",COUNTIF('例_対応履歴'!$B$5:$B$304,$A26))</f>
        <v/>
      </c>
      <c r="L26" s="11">
        <f>IF($P26="","",IFERROR(INDEX('例_対応履歴'!$G$5:$G$304,MATCH($P26,'例_対応履歴'!$J$5:$J$304,0))&amp;"",""))</f>
        <v/>
      </c>
      <c r="M26" s="9">
        <f>IF($P26="","",IFERROR(IF(INDEX('例_対応履歴'!$H$5:$H$304,MATCH($P26,'例_対応履歴'!$J$5:$J$304,0))="","",INDEX('例_対応履歴'!$H$5:$H$304,MATCH($P26,'例_対応履歴'!$J$5:$J$304,0))),""))</f>
        <v/>
      </c>
      <c r="N26" s="10">
        <f>IF($A26="","",IF($K26=0,"対応履歴なし",IF($M26="",IF($L26="","次回予定なし","期日未定"),IF($M26&lt;'例_次回アクション'!$B$2,"期日超過 "&amp;('例_次回アクション'!$B$2-$M26)&amp;"日",IF($M26='例_次回アクション'!$B$2,"今日","あと"&amp;($M26-'例_次回アクション'!$B$2)&amp;"日")))))</f>
        <v/>
      </c>
      <c r="O26" s="12">
        <f>IF($P26="","",IF($M26&lt;&gt;"",$M26+ROW()/100000,IF($L26&lt;&gt;"",100000+ROW()/100000,"")))</f>
        <v/>
      </c>
      <c r="P26" s="12">
        <f>IF(OR($A26="",$K26=0),"",_xlfn.MAXIFS('例_対応履歴'!$J$5:$J$304,'例_対応履歴'!$B$5:$B$304,$A26))</f>
        <v/>
      </c>
    </row>
    <row r="27">
      <c r="A27" s="7" t="n"/>
      <c r="B27" s="7" t="n"/>
      <c r="C27" s="8" t="n"/>
      <c r="D27" s="8" t="n"/>
      <c r="E27" s="8" t="n"/>
      <c r="F27" s="8" t="n"/>
      <c r="G27" s="7" t="n"/>
      <c r="H27" s="7" t="n"/>
      <c r="I27" s="8" t="n"/>
      <c r="J27" s="9">
        <f>IF($A27="","",IF($K27=0,"",_xlfn.MAXIFS('例_対応履歴'!$A$5:$A$304,'例_対応履歴'!$B$5:$B$304,$A27)))</f>
        <v/>
      </c>
      <c r="K27" s="10">
        <f>IF($A27="","",COUNTIF('例_対応履歴'!$B$5:$B$304,$A27))</f>
        <v/>
      </c>
      <c r="L27" s="11">
        <f>IF($P27="","",IFERROR(INDEX('例_対応履歴'!$G$5:$G$304,MATCH($P27,'例_対応履歴'!$J$5:$J$304,0))&amp;"",""))</f>
        <v/>
      </c>
      <c r="M27" s="9">
        <f>IF($P27="","",IFERROR(IF(INDEX('例_対応履歴'!$H$5:$H$304,MATCH($P27,'例_対応履歴'!$J$5:$J$304,0))="","",INDEX('例_対応履歴'!$H$5:$H$304,MATCH($P27,'例_対応履歴'!$J$5:$J$304,0))),""))</f>
        <v/>
      </c>
      <c r="N27" s="10">
        <f>IF($A27="","",IF($K27=0,"対応履歴なし",IF($M27="",IF($L27="","次回予定なし","期日未定"),IF($M27&lt;'例_次回アクション'!$B$2,"期日超過 "&amp;('例_次回アクション'!$B$2-$M27)&amp;"日",IF($M27='例_次回アクション'!$B$2,"今日","あと"&amp;($M27-'例_次回アクション'!$B$2)&amp;"日")))))</f>
        <v/>
      </c>
      <c r="O27" s="12">
        <f>IF($P27="","",IF($M27&lt;&gt;"",$M27+ROW()/100000,IF($L27&lt;&gt;"",100000+ROW()/100000,"")))</f>
        <v/>
      </c>
      <c r="P27" s="12">
        <f>IF(OR($A27="",$K27=0),"",_xlfn.MAXIFS('例_対応履歴'!$J$5:$J$304,'例_対応履歴'!$B$5:$B$304,$A27))</f>
        <v/>
      </c>
    </row>
    <row r="28">
      <c r="A28" s="7" t="n"/>
      <c r="B28" s="7" t="n"/>
      <c r="C28" s="8" t="n"/>
      <c r="D28" s="8" t="n"/>
      <c r="E28" s="8" t="n"/>
      <c r="F28" s="8" t="n"/>
      <c r="G28" s="7" t="n"/>
      <c r="H28" s="7" t="n"/>
      <c r="I28" s="8" t="n"/>
      <c r="J28" s="9">
        <f>IF($A28="","",IF($K28=0,"",_xlfn.MAXIFS('例_対応履歴'!$A$5:$A$304,'例_対応履歴'!$B$5:$B$304,$A28)))</f>
        <v/>
      </c>
      <c r="K28" s="10">
        <f>IF($A28="","",COUNTIF('例_対応履歴'!$B$5:$B$304,$A28))</f>
        <v/>
      </c>
      <c r="L28" s="11">
        <f>IF($P28="","",IFERROR(INDEX('例_対応履歴'!$G$5:$G$304,MATCH($P28,'例_対応履歴'!$J$5:$J$304,0))&amp;"",""))</f>
        <v/>
      </c>
      <c r="M28" s="9">
        <f>IF($P28="","",IFERROR(IF(INDEX('例_対応履歴'!$H$5:$H$304,MATCH($P28,'例_対応履歴'!$J$5:$J$304,0))="","",INDEX('例_対応履歴'!$H$5:$H$304,MATCH($P28,'例_対応履歴'!$J$5:$J$304,0))),""))</f>
        <v/>
      </c>
      <c r="N28" s="10">
        <f>IF($A28="","",IF($K28=0,"対応履歴なし",IF($M28="",IF($L28="","次回予定なし","期日未定"),IF($M28&lt;'例_次回アクション'!$B$2,"期日超過 "&amp;('例_次回アクション'!$B$2-$M28)&amp;"日",IF($M28='例_次回アクション'!$B$2,"今日","あと"&amp;($M28-'例_次回アクション'!$B$2)&amp;"日")))))</f>
        <v/>
      </c>
      <c r="O28" s="12">
        <f>IF($P28="","",IF($M28&lt;&gt;"",$M28+ROW()/100000,IF($L28&lt;&gt;"",100000+ROW()/100000,"")))</f>
        <v/>
      </c>
      <c r="P28" s="12">
        <f>IF(OR($A28="",$K28=0),"",_xlfn.MAXIFS('例_対応履歴'!$J$5:$J$304,'例_対応履歴'!$B$5:$B$304,$A28))</f>
        <v/>
      </c>
    </row>
    <row r="29">
      <c r="A29" s="7" t="n"/>
      <c r="B29" s="7" t="n"/>
      <c r="C29" s="8" t="n"/>
      <c r="D29" s="8" t="n"/>
      <c r="E29" s="8" t="n"/>
      <c r="F29" s="8" t="n"/>
      <c r="G29" s="7" t="n"/>
      <c r="H29" s="7" t="n"/>
      <c r="I29" s="8" t="n"/>
      <c r="J29" s="9">
        <f>IF($A29="","",IF($K29=0,"",_xlfn.MAXIFS('例_対応履歴'!$A$5:$A$304,'例_対応履歴'!$B$5:$B$304,$A29)))</f>
        <v/>
      </c>
      <c r="K29" s="10">
        <f>IF($A29="","",COUNTIF('例_対応履歴'!$B$5:$B$304,$A29))</f>
        <v/>
      </c>
      <c r="L29" s="11">
        <f>IF($P29="","",IFERROR(INDEX('例_対応履歴'!$G$5:$G$304,MATCH($P29,'例_対応履歴'!$J$5:$J$304,0))&amp;"",""))</f>
        <v/>
      </c>
      <c r="M29" s="9">
        <f>IF($P29="","",IFERROR(IF(INDEX('例_対応履歴'!$H$5:$H$304,MATCH($P29,'例_対応履歴'!$J$5:$J$304,0))="","",INDEX('例_対応履歴'!$H$5:$H$304,MATCH($P29,'例_対応履歴'!$J$5:$J$304,0))),""))</f>
        <v/>
      </c>
      <c r="N29" s="10">
        <f>IF($A29="","",IF($K29=0,"対応履歴なし",IF($M29="",IF($L29="","次回予定なし","期日未定"),IF($M29&lt;'例_次回アクション'!$B$2,"期日超過 "&amp;('例_次回アクション'!$B$2-$M29)&amp;"日",IF($M29='例_次回アクション'!$B$2,"今日","あと"&amp;($M29-'例_次回アクション'!$B$2)&amp;"日")))))</f>
        <v/>
      </c>
      <c r="O29" s="12">
        <f>IF($P29="","",IF($M29&lt;&gt;"",$M29+ROW()/100000,IF($L29&lt;&gt;"",100000+ROW()/100000,"")))</f>
        <v/>
      </c>
      <c r="P29" s="12">
        <f>IF(OR($A29="",$K29=0),"",_xlfn.MAXIFS('例_対応履歴'!$J$5:$J$304,'例_対応履歴'!$B$5:$B$304,$A29))</f>
        <v/>
      </c>
    </row>
    <row r="30">
      <c r="A30" s="7" t="n"/>
      <c r="B30" s="7" t="n"/>
      <c r="C30" s="8" t="n"/>
      <c r="D30" s="8" t="n"/>
      <c r="E30" s="8" t="n"/>
      <c r="F30" s="8" t="n"/>
      <c r="G30" s="7" t="n"/>
      <c r="H30" s="7" t="n"/>
      <c r="I30" s="8" t="n"/>
      <c r="J30" s="9">
        <f>IF($A30="","",IF($K30=0,"",_xlfn.MAXIFS('例_対応履歴'!$A$5:$A$304,'例_対応履歴'!$B$5:$B$304,$A30)))</f>
        <v/>
      </c>
      <c r="K30" s="10">
        <f>IF($A30="","",COUNTIF('例_対応履歴'!$B$5:$B$304,$A30))</f>
        <v/>
      </c>
      <c r="L30" s="11">
        <f>IF($P30="","",IFERROR(INDEX('例_対応履歴'!$G$5:$G$304,MATCH($P30,'例_対応履歴'!$J$5:$J$304,0))&amp;"",""))</f>
        <v/>
      </c>
      <c r="M30" s="9">
        <f>IF($P30="","",IFERROR(IF(INDEX('例_対応履歴'!$H$5:$H$304,MATCH($P30,'例_対応履歴'!$J$5:$J$304,0))="","",INDEX('例_対応履歴'!$H$5:$H$304,MATCH($P30,'例_対応履歴'!$J$5:$J$304,0))),""))</f>
        <v/>
      </c>
      <c r="N30" s="10">
        <f>IF($A30="","",IF($K30=0,"対応履歴なし",IF($M30="",IF($L30="","次回予定なし","期日未定"),IF($M30&lt;'例_次回アクション'!$B$2,"期日超過 "&amp;('例_次回アクション'!$B$2-$M30)&amp;"日",IF($M30='例_次回アクション'!$B$2,"今日","あと"&amp;($M30-'例_次回アクション'!$B$2)&amp;"日")))))</f>
        <v/>
      </c>
      <c r="O30" s="12">
        <f>IF($P30="","",IF($M30&lt;&gt;"",$M30+ROW()/100000,IF($L30&lt;&gt;"",100000+ROW()/100000,"")))</f>
        <v/>
      </c>
      <c r="P30" s="12">
        <f>IF(OR($A30="",$K30=0),"",_xlfn.MAXIFS('例_対応履歴'!$J$5:$J$304,'例_対応履歴'!$B$5:$B$304,$A30))</f>
        <v/>
      </c>
    </row>
    <row r="31">
      <c r="A31" s="7" t="n"/>
      <c r="B31" s="7" t="n"/>
      <c r="C31" s="8" t="n"/>
      <c r="D31" s="8" t="n"/>
      <c r="E31" s="8" t="n"/>
      <c r="F31" s="8" t="n"/>
      <c r="G31" s="7" t="n"/>
      <c r="H31" s="7" t="n"/>
      <c r="I31" s="8" t="n"/>
      <c r="J31" s="9">
        <f>IF($A31="","",IF($K31=0,"",_xlfn.MAXIFS('例_対応履歴'!$A$5:$A$304,'例_対応履歴'!$B$5:$B$304,$A31)))</f>
        <v/>
      </c>
      <c r="K31" s="10">
        <f>IF($A31="","",COUNTIF('例_対応履歴'!$B$5:$B$304,$A31))</f>
        <v/>
      </c>
      <c r="L31" s="11">
        <f>IF($P31="","",IFERROR(INDEX('例_対応履歴'!$G$5:$G$304,MATCH($P31,'例_対応履歴'!$J$5:$J$304,0))&amp;"",""))</f>
        <v/>
      </c>
      <c r="M31" s="9">
        <f>IF($P31="","",IFERROR(IF(INDEX('例_対応履歴'!$H$5:$H$304,MATCH($P31,'例_対応履歴'!$J$5:$J$304,0))="","",INDEX('例_対応履歴'!$H$5:$H$304,MATCH($P31,'例_対応履歴'!$J$5:$J$304,0))),""))</f>
        <v/>
      </c>
      <c r="N31" s="10">
        <f>IF($A31="","",IF($K31=0,"対応履歴なし",IF($M31="",IF($L31="","次回予定なし","期日未定"),IF($M31&lt;'例_次回アクション'!$B$2,"期日超過 "&amp;('例_次回アクション'!$B$2-$M31)&amp;"日",IF($M31='例_次回アクション'!$B$2,"今日","あと"&amp;($M31-'例_次回アクション'!$B$2)&amp;"日")))))</f>
        <v/>
      </c>
      <c r="O31" s="12">
        <f>IF($P31="","",IF($M31&lt;&gt;"",$M31+ROW()/100000,IF($L31&lt;&gt;"",100000+ROW()/100000,"")))</f>
        <v/>
      </c>
      <c r="P31" s="12">
        <f>IF(OR($A31="",$K31=0),"",_xlfn.MAXIFS('例_対応履歴'!$J$5:$J$304,'例_対応履歴'!$B$5:$B$304,$A31))</f>
        <v/>
      </c>
    </row>
    <row r="32">
      <c r="A32" s="7" t="n"/>
      <c r="B32" s="7" t="n"/>
      <c r="C32" s="8" t="n"/>
      <c r="D32" s="8" t="n"/>
      <c r="E32" s="8" t="n"/>
      <c r="F32" s="8" t="n"/>
      <c r="G32" s="7" t="n"/>
      <c r="H32" s="7" t="n"/>
      <c r="I32" s="8" t="n"/>
      <c r="J32" s="9">
        <f>IF($A32="","",IF($K32=0,"",_xlfn.MAXIFS('例_対応履歴'!$A$5:$A$304,'例_対応履歴'!$B$5:$B$304,$A32)))</f>
        <v/>
      </c>
      <c r="K32" s="10">
        <f>IF($A32="","",COUNTIF('例_対応履歴'!$B$5:$B$304,$A32))</f>
        <v/>
      </c>
      <c r="L32" s="11">
        <f>IF($P32="","",IFERROR(INDEX('例_対応履歴'!$G$5:$G$304,MATCH($P32,'例_対応履歴'!$J$5:$J$304,0))&amp;"",""))</f>
        <v/>
      </c>
      <c r="M32" s="9">
        <f>IF($P32="","",IFERROR(IF(INDEX('例_対応履歴'!$H$5:$H$304,MATCH($P32,'例_対応履歴'!$J$5:$J$304,0))="","",INDEX('例_対応履歴'!$H$5:$H$304,MATCH($P32,'例_対応履歴'!$J$5:$J$304,0))),""))</f>
        <v/>
      </c>
      <c r="N32" s="10">
        <f>IF($A32="","",IF($K32=0,"対応履歴なし",IF($M32="",IF($L32="","次回予定なし","期日未定"),IF($M32&lt;'例_次回アクション'!$B$2,"期日超過 "&amp;('例_次回アクション'!$B$2-$M32)&amp;"日",IF($M32='例_次回アクション'!$B$2,"今日","あと"&amp;($M32-'例_次回アクション'!$B$2)&amp;"日")))))</f>
        <v/>
      </c>
      <c r="O32" s="12">
        <f>IF($P32="","",IF($M32&lt;&gt;"",$M32+ROW()/100000,IF($L32&lt;&gt;"",100000+ROW()/100000,"")))</f>
        <v/>
      </c>
      <c r="P32" s="12">
        <f>IF(OR($A32="",$K32=0),"",_xlfn.MAXIFS('例_対応履歴'!$J$5:$J$304,'例_対応履歴'!$B$5:$B$304,$A32))</f>
        <v/>
      </c>
    </row>
    <row r="33">
      <c r="A33" s="7" t="n"/>
      <c r="B33" s="7" t="n"/>
      <c r="C33" s="8" t="n"/>
      <c r="D33" s="8" t="n"/>
      <c r="E33" s="8" t="n"/>
      <c r="F33" s="8" t="n"/>
      <c r="G33" s="7" t="n"/>
      <c r="H33" s="7" t="n"/>
      <c r="I33" s="8" t="n"/>
      <c r="J33" s="9">
        <f>IF($A33="","",IF($K33=0,"",_xlfn.MAXIFS('例_対応履歴'!$A$5:$A$304,'例_対応履歴'!$B$5:$B$304,$A33)))</f>
        <v/>
      </c>
      <c r="K33" s="10">
        <f>IF($A33="","",COUNTIF('例_対応履歴'!$B$5:$B$304,$A33))</f>
        <v/>
      </c>
      <c r="L33" s="11">
        <f>IF($P33="","",IFERROR(INDEX('例_対応履歴'!$G$5:$G$304,MATCH($P33,'例_対応履歴'!$J$5:$J$304,0))&amp;"",""))</f>
        <v/>
      </c>
      <c r="M33" s="9">
        <f>IF($P33="","",IFERROR(IF(INDEX('例_対応履歴'!$H$5:$H$304,MATCH($P33,'例_対応履歴'!$J$5:$J$304,0))="","",INDEX('例_対応履歴'!$H$5:$H$304,MATCH($P33,'例_対応履歴'!$J$5:$J$304,0))),""))</f>
        <v/>
      </c>
      <c r="N33" s="10">
        <f>IF($A33="","",IF($K33=0,"対応履歴なし",IF($M33="",IF($L33="","次回予定なし","期日未定"),IF($M33&lt;'例_次回アクション'!$B$2,"期日超過 "&amp;('例_次回アクション'!$B$2-$M33)&amp;"日",IF($M33='例_次回アクション'!$B$2,"今日","あと"&amp;($M33-'例_次回アクション'!$B$2)&amp;"日")))))</f>
        <v/>
      </c>
      <c r="O33" s="12">
        <f>IF($P33="","",IF($M33&lt;&gt;"",$M33+ROW()/100000,IF($L33&lt;&gt;"",100000+ROW()/100000,"")))</f>
        <v/>
      </c>
      <c r="P33" s="12">
        <f>IF(OR($A33="",$K33=0),"",_xlfn.MAXIFS('例_対応履歴'!$J$5:$J$304,'例_対応履歴'!$B$5:$B$304,$A33))</f>
        <v/>
      </c>
    </row>
    <row r="34">
      <c r="A34" s="7" t="n"/>
      <c r="B34" s="7" t="n"/>
      <c r="C34" s="8" t="n"/>
      <c r="D34" s="8" t="n"/>
      <c r="E34" s="8" t="n"/>
      <c r="F34" s="8" t="n"/>
      <c r="G34" s="7" t="n"/>
      <c r="H34" s="7" t="n"/>
      <c r="I34" s="8" t="n"/>
      <c r="J34" s="9">
        <f>IF($A34="","",IF($K34=0,"",_xlfn.MAXIFS('例_対応履歴'!$A$5:$A$304,'例_対応履歴'!$B$5:$B$304,$A34)))</f>
        <v/>
      </c>
      <c r="K34" s="10">
        <f>IF($A34="","",COUNTIF('例_対応履歴'!$B$5:$B$304,$A34))</f>
        <v/>
      </c>
      <c r="L34" s="11">
        <f>IF($P34="","",IFERROR(INDEX('例_対応履歴'!$G$5:$G$304,MATCH($P34,'例_対応履歴'!$J$5:$J$304,0))&amp;"",""))</f>
        <v/>
      </c>
      <c r="M34" s="9">
        <f>IF($P34="","",IFERROR(IF(INDEX('例_対応履歴'!$H$5:$H$304,MATCH($P34,'例_対応履歴'!$J$5:$J$304,0))="","",INDEX('例_対応履歴'!$H$5:$H$304,MATCH($P34,'例_対応履歴'!$J$5:$J$304,0))),""))</f>
        <v/>
      </c>
      <c r="N34" s="10">
        <f>IF($A34="","",IF($K34=0,"対応履歴なし",IF($M34="",IF($L34="","次回予定なし","期日未定"),IF($M34&lt;'例_次回アクション'!$B$2,"期日超過 "&amp;('例_次回アクション'!$B$2-$M34)&amp;"日",IF($M34='例_次回アクション'!$B$2,"今日","あと"&amp;($M34-'例_次回アクション'!$B$2)&amp;"日")))))</f>
        <v/>
      </c>
      <c r="O34" s="12">
        <f>IF($P34="","",IF($M34&lt;&gt;"",$M34+ROW()/100000,IF($L34&lt;&gt;"",100000+ROW()/100000,"")))</f>
        <v/>
      </c>
      <c r="P34" s="12">
        <f>IF(OR($A34="",$K34=0),"",_xlfn.MAXIFS('例_対応履歴'!$J$5:$J$304,'例_対応履歴'!$B$5:$B$304,$A34))</f>
        <v/>
      </c>
    </row>
    <row r="35">
      <c r="A35" s="7" t="n"/>
      <c r="B35" s="7" t="n"/>
      <c r="C35" s="8" t="n"/>
      <c r="D35" s="8" t="n"/>
      <c r="E35" s="8" t="n"/>
      <c r="F35" s="8" t="n"/>
      <c r="G35" s="7" t="n"/>
      <c r="H35" s="7" t="n"/>
      <c r="I35" s="8" t="n"/>
      <c r="J35" s="9">
        <f>IF($A35="","",IF($K35=0,"",_xlfn.MAXIFS('例_対応履歴'!$A$5:$A$304,'例_対応履歴'!$B$5:$B$304,$A35)))</f>
        <v/>
      </c>
      <c r="K35" s="10">
        <f>IF($A35="","",COUNTIF('例_対応履歴'!$B$5:$B$304,$A35))</f>
        <v/>
      </c>
      <c r="L35" s="11">
        <f>IF($P35="","",IFERROR(INDEX('例_対応履歴'!$G$5:$G$304,MATCH($P35,'例_対応履歴'!$J$5:$J$304,0))&amp;"",""))</f>
        <v/>
      </c>
      <c r="M35" s="9">
        <f>IF($P35="","",IFERROR(IF(INDEX('例_対応履歴'!$H$5:$H$304,MATCH($P35,'例_対応履歴'!$J$5:$J$304,0))="","",INDEX('例_対応履歴'!$H$5:$H$304,MATCH($P35,'例_対応履歴'!$J$5:$J$304,0))),""))</f>
        <v/>
      </c>
      <c r="N35" s="10">
        <f>IF($A35="","",IF($K35=0,"対応履歴なし",IF($M35="",IF($L35="","次回予定なし","期日未定"),IF($M35&lt;'例_次回アクション'!$B$2,"期日超過 "&amp;('例_次回アクション'!$B$2-$M35)&amp;"日",IF($M35='例_次回アクション'!$B$2,"今日","あと"&amp;($M35-'例_次回アクション'!$B$2)&amp;"日")))))</f>
        <v/>
      </c>
      <c r="O35" s="12">
        <f>IF($P35="","",IF($M35&lt;&gt;"",$M35+ROW()/100000,IF($L35&lt;&gt;"",100000+ROW()/100000,"")))</f>
        <v/>
      </c>
      <c r="P35" s="12">
        <f>IF(OR($A35="",$K35=0),"",_xlfn.MAXIFS('例_対応履歴'!$J$5:$J$304,'例_対応履歴'!$B$5:$B$304,$A35))</f>
        <v/>
      </c>
    </row>
    <row r="36">
      <c r="A36" s="7" t="n"/>
      <c r="B36" s="7" t="n"/>
      <c r="C36" s="8" t="n"/>
      <c r="D36" s="8" t="n"/>
      <c r="E36" s="8" t="n"/>
      <c r="F36" s="8" t="n"/>
      <c r="G36" s="7" t="n"/>
      <c r="H36" s="7" t="n"/>
      <c r="I36" s="8" t="n"/>
      <c r="J36" s="9">
        <f>IF($A36="","",IF($K36=0,"",_xlfn.MAXIFS('例_対応履歴'!$A$5:$A$304,'例_対応履歴'!$B$5:$B$304,$A36)))</f>
        <v/>
      </c>
      <c r="K36" s="10">
        <f>IF($A36="","",COUNTIF('例_対応履歴'!$B$5:$B$304,$A36))</f>
        <v/>
      </c>
      <c r="L36" s="11">
        <f>IF($P36="","",IFERROR(INDEX('例_対応履歴'!$G$5:$G$304,MATCH($P36,'例_対応履歴'!$J$5:$J$304,0))&amp;"",""))</f>
        <v/>
      </c>
      <c r="M36" s="9">
        <f>IF($P36="","",IFERROR(IF(INDEX('例_対応履歴'!$H$5:$H$304,MATCH($P36,'例_対応履歴'!$J$5:$J$304,0))="","",INDEX('例_対応履歴'!$H$5:$H$304,MATCH($P36,'例_対応履歴'!$J$5:$J$304,0))),""))</f>
        <v/>
      </c>
      <c r="N36" s="10">
        <f>IF($A36="","",IF($K36=0,"対応履歴なし",IF($M36="",IF($L36="","次回予定なし","期日未定"),IF($M36&lt;'例_次回アクション'!$B$2,"期日超過 "&amp;('例_次回アクション'!$B$2-$M36)&amp;"日",IF($M36='例_次回アクション'!$B$2,"今日","あと"&amp;($M36-'例_次回アクション'!$B$2)&amp;"日")))))</f>
        <v/>
      </c>
      <c r="O36" s="12">
        <f>IF($P36="","",IF($M36&lt;&gt;"",$M36+ROW()/100000,IF($L36&lt;&gt;"",100000+ROW()/100000,"")))</f>
        <v/>
      </c>
      <c r="P36" s="12">
        <f>IF(OR($A36="",$K36=0),"",_xlfn.MAXIFS('例_対応履歴'!$J$5:$J$304,'例_対応履歴'!$B$5:$B$304,$A36))</f>
        <v/>
      </c>
    </row>
    <row r="37">
      <c r="A37" s="7" t="n"/>
      <c r="B37" s="7" t="n"/>
      <c r="C37" s="8" t="n"/>
      <c r="D37" s="8" t="n"/>
      <c r="E37" s="8" t="n"/>
      <c r="F37" s="8" t="n"/>
      <c r="G37" s="7" t="n"/>
      <c r="H37" s="7" t="n"/>
      <c r="I37" s="8" t="n"/>
      <c r="J37" s="9">
        <f>IF($A37="","",IF($K37=0,"",_xlfn.MAXIFS('例_対応履歴'!$A$5:$A$304,'例_対応履歴'!$B$5:$B$304,$A37)))</f>
        <v/>
      </c>
      <c r="K37" s="10">
        <f>IF($A37="","",COUNTIF('例_対応履歴'!$B$5:$B$304,$A37))</f>
        <v/>
      </c>
      <c r="L37" s="11">
        <f>IF($P37="","",IFERROR(INDEX('例_対応履歴'!$G$5:$G$304,MATCH($P37,'例_対応履歴'!$J$5:$J$304,0))&amp;"",""))</f>
        <v/>
      </c>
      <c r="M37" s="9">
        <f>IF($P37="","",IFERROR(IF(INDEX('例_対応履歴'!$H$5:$H$304,MATCH($P37,'例_対応履歴'!$J$5:$J$304,0))="","",INDEX('例_対応履歴'!$H$5:$H$304,MATCH($P37,'例_対応履歴'!$J$5:$J$304,0))),""))</f>
        <v/>
      </c>
      <c r="N37" s="10">
        <f>IF($A37="","",IF($K37=0,"対応履歴なし",IF($M37="",IF($L37="","次回予定なし","期日未定"),IF($M37&lt;'例_次回アクション'!$B$2,"期日超過 "&amp;('例_次回アクション'!$B$2-$M37)&amp;"日",IF($M37='例_次回アクション'!$B$2,"今日","あと"&amp;($M37-'例_次回アクション'!$B$2)&amp;"日")))))</f>
        <v/>
      </c>
      <c r="O37" s="12">
        <f>IF($P37="","",IF($M37&lt;&gt;"",$M37+ROW()/100000,IF($L37&lt;&gt;"",100000+ROW()/100000,"")))</f>
        <v/>
      </c>
      <c r="P37" s="12">
        <f>IF(OR($A37="",$K37=0),"",_xlfn.MAXIFS('例_対応履歴'!$J$5:$J$304,'例_対応履歴'!$B$5:$B$304,$A37))</f>
        <v/>
      </c>
    </row>
    <row r="38">
      <c r="A38" s="7" t="n"/>
      <c r="B38" s="7" t="n"/>
      <c r="C38" s="8" t="n"/>
      <c r="D38" s="8" t="n"/>
      <c r="E38" s="8" t="n"/>
      <c r="F38" s="8" t="n"/>
      <c r="G38" s="7" t="n"/>
      <c r="H38" s="7" t="n"/>
      <c r="I38" s="8" t="n"/>
      <c r="J38" s="9">
        <f>IF($A38="","",IF($K38=0,"",_xlfn.MAXIFS('例_対応履歴'!$A$5:$A$304,'例_対応履歴'!$B$5:$B$304,$A38)))</f>
        <v/>
      </c>
      <c r="K38" s="10">
        <f>IF($A38="","",COUNTIF('例_対応履歴'!$B$5:$B$304,$A38))</f>
        <v/>
      </c>
      <c r="L38" s="11">
        <f>IF($P38="","",IFERROR(INDEX('例_対応履歴'!$G$5:$G$304,MATCH($P38,'例_対応履歴'!$J$5:$J$304,0))&amp;"",""))</f>
        <v/>
      </c>
      <c r="M38" s="9">
        <f>IF($P38="","",IFERROR(IF(INDEX('例_対応履歴'!$H$5:$H$304,MATCH($P38,'例_対応履歴'!$J$5:$J$304,0))="","",INDEX('例_対応履歴'!$H$5:$H$304,MATCH($P38,'例_対応履歴'!$J$5:$J$304,0))),""))</f>
        <v/>
      </c>
      <c r="N38" s="10">
        <f>IF($A38="","",IF($K38=0,"対応履歴なし",IF($M38="",IF($L38="","次回予定なし","期日未定"),IF($M38&lt;'例_次回アクション'!$B$2,"期日超過 "&amp;('例_次回アクション'!$B$2-$M38)&amp;"日",IF($M38='例_次回アクション'!$B$2,"今日","あと"&amp;($M38-'例_次回アクション'!$B$2)&amp;"日")))))</f>
        <v/>
      </c>
      <c r="O38" s="12">
        <f>IF($P38="","",IF($M38&lt;&gt;"",$M38+ROW()/100000,IF($L38&lt;&gt;"",100000+ROW()/100000,"")))</f>
        <v/>
      </c>
      <c r="P38" s="12">
        <f>IF(OR($A38="",$K38=0),"",_xlfn.MAXIFS('例_対応履歴'!$J$5:$J$304,'例_対応履歴'!$B$5:$B$304,$A38))</f>
        <v/>
      </c>
    </row>
    <row r="39">
      <c r="A39" s="7" t="n"/>
      <c r="B39" s="7" t="n"/>
      <c r="C39" s="8" t="n"/>
      <c r="D39" s="8" t="n"/>
      <c r="E39" s="8" t="n"/>
      <c r="F39" s="8" t="n"/>
      <c r="G39" s="7" t="n"/>
      <c r="H39" s="7" t="n"/>
      <c r="I39" s="8" t="n"/>
      <c r="J39" s="9">
        <f>IF($A39="","",IF($K39=0,"",_xlfn.MAXIFS('例_対応履歴'!$A$5:$A$304,'例_対応履歴'!$B$5:$B$304,$A39)))</f>
        <v/>
      </c>
      <c r="K39" s="10">
        <f>IF($A39="","",COUNTIF('例_対応履歴'!$B$5:$B$304,$A39))</f>
        <v/>
      </c>
      <c r="L39" s="11">
        <f>IF($P39="","",IFERROR(INDEX('例_対応履歴'!$G$5:$G$304,MATCH($P39,'例_対応履歴'!$J$5:$J$304,0))&amp;"",""))</f>
        <v/>
      </c>
      <c r="M39" s="9">
        <f>IF($P39="","",IFERROR(IF(INDEX('例_対応履歴'!$H$5:$H$304,MATCH($P39,'例_対応履歴'!$J$5:$J$304,0))="","",INDEX('例_対応履歴'!$H$5:$H$304,MATCH($P39,'例_対応履歴'!$J$5:$J$304,0))),""))</f>
        <v/>
      </c>
      <c r="N39" s="10">
        <f>IF($A39="","",IF($K39=0,"対応履歴なし",IF($M39="",IF($L39="","次回予定なし","期日未定"),IF($M39&lt;'例_次回アクション'!$B$2,"期日超過 "&amp;('例_次回アクション'!$B$2-$M39)&amp;"日",IF($M39='例_次回アクション'!$B$2,"今日","あと"&amp;($M39-'例_次回アクション'!$B$2)&amp;"日")))))</f>
        <v/>
      </c>
      <c r="O39" s="12">
        <f>IF($P39="","",IF($M39&lt;&gt;"",$M39+ROW()/100000,IF($L39&lt;&gt;"",100000+ROW()/100000,"")))</f>
        <v/>
      </c>
      <c r="P39" s="12">
        <f>IF(OR($A39="",$K39=0),"",_xlfn.MAXIFS('例_対応履歴'!$J$5:$J$304,'例_対応履歴'!$B$5:$B$304,$A39))</f>
        <v/>
      </c>
    </row>
    <row r="40">
      <c r="A40" s="7" t="n"/>
      <c r="B40" s="7" t="n"/>
      <c r="C40" s="8" t="n"/>
      <c r="D40" s="8" t="n"/>
      <c r="E40" s="8" t="n"/>
      <c r="F40" s="8" t="n"/>
      <c r="G40" s="7" t="n"/>
      <c r="H40" s="7" t="n"/>
      <c r="I40" s="8" t="n"/>
      <c r="J40" s="9">
        <f>IF($A40="","",IF($K40=0,"",_xlfn.MAXIFS('例_対応履歴'!$A$5:$A$304,'例_対応履歴'!$B$5:$B$304,$A40)))</f>
        <v/>
      </c>
      <c r="K40" s="10">
        <f>IF($A40="","",COUNTIF('例_対応履歴'!$B$5:$B$304,$A40))</f>
        <v/>
      </c>
      <c r="L40" s="11">
        <f>IF($P40="","",IFERROR(INDEX('例_対応履歴'!$G$5:$G$304,MATCH($P40,'例_対応履歴'!$J$5:$J$304,0))&amp;"",""))</f>
        <v/>
      </c>
      <c r="M40" s="9">
        <f>IF($P40="","",IFERROR(IF(INDEX('例_対応履歴'!$H$5:$H$304,MATCH($P40,'例_対応履歴'!$J$5:$J$304,0))="","",INDEX('例_対応履歴'!$H$5:$H$304,MATCH($P40,'例_対応履歴'!$J$5:$J$304,0))),""))</f>
        <v/>
      </c>
      <c r="N40" s="10">
        <f>IF($A40="","",IF($K40=0,"対応履歴なし",IF($M40="",IF($L40="","次回予定なし","期日未定"),IF($M40&lt;'例_次回アクション'!$B$2,"期日超過 "&amp;('例_次回アクション'!$B$2-$M40)&amp;"日",IF($M40='例_次回アクション'!$B$2,"今日","あと"&amp;($M40-'例_次回アクション'!$B$2)&amp;"日")))))</f>
        <v/>
      </c>
      <c r="O40" s="12">
        <f>IF($P40="","",IF($M40&lt;&gt;"",$M40+ROW()/100000,IF($L40&lt;&gt;"",100000+ROW()/100000,"")))</f>
        <v/>
      </c>
      <c r="P40" s="12">
        <f>IF(OR($A40="",$K40=0),"",_xlfn.MAXIFS('例_対応履歴'!$J$5:$J$304,'例_対応履歴'!$B$5:$B$304,$A40))</f>
        <v/>
      </c>
    </row>
    <row r="41">
      <c r="A41" s="7" t="n"/>
      <c r="B41" s="7" t="n"/>
      <c r="C41" s="8" t="n"/>
      <c r="D41" s="8" t="n"/>
      <c r="E41" s="8" t="n"/>
      <c r="F41" s="8" t="n"/>
      <c r="G41" s="7" t="n"/>
      <c r="H41" s="7" t="n"/>
      <c r="I41" s="8" t="n"/>
      <c r="J41" s="9">
        <f>IF($A41="","",IF($K41=0,"",_xlfn.MAXIFS('例_対応履歴'!$A$5:$A$304,'例_対応履歴'!$B$5:$B$304,$A41)))</f>
        <v/>
      </c>
      <c r="K41" s="10">
        <f>IF($A41="","",COUNTIF('例_対応履歴'!$B$5:$B$304,$A41))</f>
        <v/>
      </c>
      <c r="L41" s="11">
        <f>IF($P41="","",IFERROR(INDEX('例_対応履歴'!$G$5:$G$304,MATCH($P41,'例_対応履歴'!$J$5:$J$304,0))&amp;"",""))</f>
        <v/>
      </c>
      <c r="M41" s="9">
        <f>IF($P41="","",IFERROR(IF(INDEX('例_対応履歴'!$H$5:$H$304,MATCH($P41,'例_対応履歴'!$J$5:$J$304,0))="","",INDEX('例_対応履歴'!$H$5:$H$304,MATCH($P41,'例_対応履歴'!$J$5:$J$304,0))),""))</f>
        <v/>
      </c>
      <c r="N41" s="10">
        <f>IF($A41="","",IF($K41=0,"対応履歴なし",IF($M41="",IF($L41="","次回予定なし","期日未定"),IF($M41&lt;'例_次回アクション'!$B$2,"期日超過 "&amp;('例_次回アクション'!$B$2-$M41)&amp;"日",IF($M41='例_次回アクション'!$B$2,"今日","あと"&amp;($M41-'例_次回アクション'!$B$2)&amp;"日")))))</f>
        <v/>
      </c>
      <c r="O41" s="12">
        <f>IF($P41="","",IF($M41&lt;&gt;"",$M41+ROW()/100000,IF($L41&lt;&gt;"",100000+ROW()/100000,"")))</f>
        <v/>
      </c>
      <c r="P41" s="12">
        <f>IF(OR($A41="",$K41=0),"",_xlfn.MAXIFS('例_対応履歴'!$J$5:$J$304,'例_対応履歴'!$B$5:$B$304,$A41))</f>
        <v/>
      </c>
    </row>
    <row r="42">
      <c r="A42" s="7" t="n"/>
      <c r="B42" s="7" t="n"/>
      <c r="C42" s="8" t="n"/>
      <c r="D42" s="8" t="n"/>
      <c r="E42" s="8" t="n"/>
      <c r="F42" s="8" t="n"/>
      <c r="G42" s="7" t="n"/>
      <c r="H42" s="7" t="n"/>
      <c r="I42" s="8" t="n"/>
      <c r="J42" s="9">
        <f>IF($A42="","",IF($K42=0,"",_xlfn.MAXIFS('例_対応履歴'!$A$5:$A$304,'例_対応履歴'!$B$5:$B$304,$A42)))</f>
        <v/>
      </c>
      <c r="K42" s="10">
        <f>IF($A42="","",COUNTIF('例_対応履歴'!$B$5:$B$304,$A42))</f>
        <v/>
      </c>
      <c r="L42" s="11">
        <f>IF($P42="","",IFERROR(INDEX('例_対応履歴'!$G$5:$G$304,MATCH($P42,'例_対応履歴'!$J$5:$J$304,0))&amp;"",""))</f>
        <v/>
      </c>
      <c r="M42" s="9">
        <f>IF($P42="","",IFERROR(IF(INDEX('例_対応履歴'!$H$5:$H$304,MATCH($P42,'例_対応履歴'!$J$5:$J$304,0))="","",INDEX('例_対応履歴'!$H$5:$H$304,MATCH($P42,'例_対応履歴'!$J$5:$J$304,0))),""))</f>
        <v/>
      </c>
      <c r="N42" s="10">
        <f>IF($A42="","",IF($K42=0,"対応履歴なし",IF($M42="",IF($L42="","次回予定なし","期日未定"),IF($M42&lt;'例_次回アクション'!$B$2,"期日超過 "&amp;('例_次回アクション'!$B$2-$M42)&amp;"日",IF($M42='例_次回アクション'!$B$2,"今日","あと"&amp;($M42-'例_次回アクション'!$B$2)&amp;"日")))))</f>
        <v/>
      </c>
      <c r="O42" s="12">
        <f>IF($P42="","",IF($M42&lt;&gt;"",$M42+ROW()/100000,IF($L42&lt;&gt;"",100000+ROW()/100000,"")))</f>
        <v/>
      </c>
      <c r="P42" s="12">
        <f>IF(OR($A42="",$K42=0),"",_xlfn.MAXIFS('例_対応履歴'!$J$5:$J$304,'例_対応履歴'!$B$5:$B$304,$A42))</f>
        <v/>
      </c>
    </row>
    <row r="43">
      <c r="A43" s="7" t="n"/>
      <c r="B43" s="7" t="n"/>
      <c r="C43" s="8" t="n"/>
      <c r="D43" s="8" t="n"/>
      <c r="E43" s="8" t="n"/>
      <c r="F43" s="8" t="n"/>
      <c r="G43" s="7" t="n"/>
      <c r="H43" s="7" t="n"/>
      <c r="I43" s="8" t="n"/>
      <c r="J43" s="9">
        <f>IF($A43="","",IF($K43=0,"",_xlfn.MAXIFS('例_対応履歴'!$A$5:$A$304,'例_対応履歴'!$B$5:$B$304,$A43)))</f>
        <v/>
      </c>
      <c r="K43" s="10">
        <f>IF($A43="","",COUNTIF('例_対応履歴'!$B$5:$B$304,$A43))</f>
        <v/>
      </c>
      <c r="L43" s="11">
        <f>IF($P43="","",IFERROR(INDEX('例_対応履歴'!$G$5:$G$304,MATCH($P43,'例_対応履歴'!$J$5:$J$304,0))&amp;"",""))</f>
        <v/>
      </c>
      <c r="M43" s="9">
        <f>IF($P43="","",IFERROR(IF(INDEX('例_対応履歴'!$H$5:$H$304,MATCH($P43,'例_対応履歴'!$J$5:$J$304,0))="","",INDEX('例_対応履歴'!$H$5:$H$304,MATCH($P43,'例_対応履歴'!$J$5:$J$304,0))),""))</f>
        <v/>
      </c>
      <c r="N43" s="10">
        <f>IF($A43="","",IF($K43=0,"対応履歴なし",IF($M43="",IF($L43="","次回予定なし","期日未定"),IF($M43&lt;'例_次回アクション'!$B$2,"期日超過 "&amp;('例_次回アクション'!$B$2-$M43)&amp;"日",IF($M43='例_次回アクション'!$B$2,"今日","あと"&amp;($M43-'例_次回アクション'!$B$2)&amp;"日")))))</f>
        <v/>
      </c>
      <c r="O43" s="12">
        <f>IF($P43="","",IF($M43&lt;&gt;"",$M43+ROW()/100000,IF($L43&lt;&gt;"",100000+ROW()/100000,"")))</f>
        <v/>
      </c>
      <c r="P43" s="12">
        <f>IF(OR($A43="",$K43=0),"",_xlfn.MAXIFS('例_対応履歴'!$J$5:$J$304,'例_対応履歴'!$B$5:$B$304,$A43))</f>
        <v/>
      </c>
    </row>
    <row r="44">
      <c r="A44" s="7" t="n"/>
      <c r="B44" s="7" t="n"/>
      <c r="C44" s="8" t="n"/>
      <c r="D44" s="8" t="n"/>
      <c r="E44" s="8" t="n"/>
      <c r="F44" s="8" t="n"/>
      <c r="G44" s="7" t="n"/>
      <c r="H44" s="7" t="n"/>
      <c r="I44" s="8" t="n"/>
      <c r="J44" s="9">
        <f>IF($A44="","",IF($K44=0,"",_xlfn.MAXIFS('例_対応履歴'!$A$5:$A$304,'例_対応履歴'!$B$5:$B$304,$A44)))</f>
        <v/>
      </c>
      <c r="K44" s="10">
        <f>IF($A44="","",COUNTIF('例_対応履歴'!$B$5:$B$304,$A44))</f>
        <v/>
      </c>
      <c r="L44" s="11">
        <f>IF($P44="","",IFERROR(INDEX('例_対応履歴'!$G$5:$G$304,MATCH($P44,'例_対応履歴'!$J$5:$J$304,0))&amp;"",""))</f>
        <v/>
      </c>
      <c r="M44" s="9">
        <f>IF($P44="","",IFERROR(IF(INDEX('例_対応履歴'!$H$5:$H$304,MATCH($P44,'例_対応履歴'!$J$5:$J$304,0))="","",INDEX('例_対応履歴'!$H$5:$H$304,MATCH($P44,'例_対応履歴'!$J$5:$J$304,0))),""))</f>
        <v/>
      </c>
      <c r="N44" s="10">
        <f>IF($A44="","",IF($K44=0,"対応履歴なし",IF($M44="",IF($L44="","次回予定なし","期日未定"),IF($M44&lt;'例_次回アクション'!$B$2,"期日超過 "&amp;('例_次回アクション'!$B$2-$M44)&amp;"日",IF($M44='例_次回アクション'!$B$2,"今日","あと"&amp;($M44-'例_次回アクション'!$B$2)&amp;"日")))))</f>
        <v/>
      </c>
      <c r="O44" s="12">
        <f>IF($P44="","",IF($M44&lt;&gt;"",$M44+ROW()/100000,IF($L44&lt;&gt;"",100000+ROW()/100000,"")))</f>
        <v/>
      </c>
      <c r="P44" s="12">
        <f>IF(OR($A44="",$K44=0),"",_xlfn.MAXIFS('例_対応履歴'!$J$5:$J$304,'例_対応履歴'!$B$5:$B$304,$A44))</f>
        <v/>
      </c>
    </row>
    <row r="45">
      <c r="A45" s="7" t="n"/>
      <c r="B45" s="7" t="n"/>
      <c r="C45" s="8" t="n"/>
      <c r="D45" s="8" t="n"/>
      <c r="E45" s="8" t="n"/>
      <c r="F45" s="8" t="n"/>
      <c r="G45" s="7" t="n"/>
      <c r="H45" s="7" t="n"/>
      <c r="I45" s="8" t="n"/>
      <c r="J45" s="9">
        <f>IF($A45="","",IF($K45=0,"",_xlfn.MAXIFS('例_対応履歴'!$A$5:$A$304,'例_対応履歴'!$B$5:$B$304,$A45)))</f>
        <v/>
      </c>
      <c r="K45" s="10">
        <f>IF($A45="","",COUNTIF('例_対応履歴'!$B$5:$B$304,$A45))</f>
        <v/>
      </c>
      <c r="L45" s="11">
        <f>IF($P45="","",IFERROR(INDEX('例_対応履歴'!$G$5:$G$304,MATCH($P45,'例_対応履歴'!$J$5:$J$304,0))&amp;"",""))</f>
        <v/>
      </c>
      <c r="M45" s="9">
        <f>IF($P45="","",IFERROR(IF(INDEX('例_対応履歴'!$H$5:$H$304,MATCH($P45,'例_対応履歴'!$J$5:$J$304,0))="","",INDEX('例_対応履歴'!$H$5:$H$304,MATCH($P45,'例_対応履歴'!$J$5:$J$304,0))),""))</f>
        <v/>
      </c>
      <c r="N45" s="10">
        <f>IF($A45="","",IF($K45=0,"対応履歴なし",IF($M45="",IF($L45="","次回予定なし","期日未定"),IF($M45&lt;'例_次回アクション'!$B$2,"期日超過 "&amp;('例_次回アクション'!$B$2-$M45)&amp;"日",IF($M45='例_次回アクション'!$B$2,"今日","あと"&amp;($M45-'例_次回アクション'!$B$2)&amp;"日")))))</f>
        <v/>
      </c>
      <c r="O45" s="12">
        <f>IF($P45="","",IF($M45&lt;&gt;"",$M45+ROW()/100000,IF($L45&lt;&gt;"",100000+ROW()/100000,"")))</f>
        <v/>
      </c>
      <c r="P45" s="12">
        <f>IF(OR($A45="",$K45=0),"",_xlfn.MAXIFS('例_対応履歴'!$J$5:$J$304,'例_対応履歴'!$B$5:$B$304,$A45))</f>
        <v/>
      </c>
    </row>
    <row r="46">
      <c r="A46" s="7" t="n"/>
      <c r="B46" s="7" t="n"/>
      <c r="C46" s="8" t="n"/>
      <c r="D46" s="8" t="n"/>
      <c r="E46" s="8" t="n"/>
      <c r="F46" s="8" t="n"/>
      <c r="G46" s="7" t="n"/>
      <c r="H46" s="7" t="n"/>
      <c r="I46" s="8" t="n"/>
      <c r="J46" s="9">
        <f>IF($A46="","",IF($K46=0,"",_xlfn.MAXIFS('例_対応履歴'!$A$5:$A$304,'例_対応履歴'!$B$5:$B$304,$A46)))</f>
        <v/>
      </c>
      <c r="K46" s="10">
        <f>IF($A46="","",COUNTIF('例_対応履歴'!$B$5:$B$304,$A46))</f>
        <v/>
      </c>
      <c r="L46" s="11">
        <f>IF($P46="","",IFERROR(INDEX('例_対応履歴'!$G$5:$G$304,MATCH($P46,'例_対応履歴'!$J$5:$J$304,0))&amp;"",""))</f>
        <v/>
      </c>
      <c r="M46" s="9">
        <f>IF($P46="","",IFERROR(IF(INDEX('例_対応履歴'!$H$5:$H$304,MATCH($P46,'例_対応履歴'!$J$5:$J$304,0))="","",INDEX('例_対応履歴'!$H$5:$H$304,MATCH($P46,'例_対応履歴'!$J$5:$J$304,0))),""))</f>
        <v/>
      </c>
      <c r="N46" s="10">
        <f>IF($A46="","",IF($K46=0,"対応履歴なし",IF($M46="",IF($L46="","次回予定なし","期日未定"),IF($M46&lt;'例_次回アクション'!$B$2,"期日超過 "&amp;('例_次回アクション'!$B$2-$M46)&amp;"日",IF($M46='例_次回アクション'!$B$2,"今日","あと"&amp;($M46-'例_次回アクション'!$B$2)&amp;"日")))))</f>
        <v/>
      </c>
      <c r="O46" s="12">
        <f>IF($P46="","",IF($M46&lt;&gt;"",$M46+ROW()/100000,IF($L46&lt;&gt;"",100000+ROW()/100000,"")))</f>
        <v/>
      </c>
      <c r="P46" s="12">
        <f>IF(OR($A46="",$K46=0),"",_xlfn.MAXIFS('例_対応履歴'!$J$5:$J$304,'例_対応履歴'!$B$5:$B$304,$A46))</f>
        <v/>
      </c>
    </row>
    <row r="47">
      <c r="A47" s="7" t="n"/>
      <c r="B47" s="7" t="n"/>
      <c r="C47" s="8" t="n"/>
      <c r="D47" s="8" t="n"/>
      <c r="E47" s="8" t="n"/>
      <c r="F47" s="8" t="n"/>
      <c r="G47" s="7" t="n"/>
      <c r="H47" s="7" t="n"/>
      <c r="I47" s="8" t="n"/>
      <c r="J47" s="9">
        <f>IF($A47="","",IF($K47=0,"",_xlfn.MAXIFS('例_対応履歴'!$A$5:$A$304,'例_対応履歴'!$B$5:$B$304,$A47)))</f>
        <v/>
      </c>
      <c r="K47" s="10">
        <f>IF($A47="","",COUNTIF('例_対応履歴'!$B$5:$B$304,$A47))</f>
        <v/>
      </c>
      <c r="L47" s="11">
        <f>IF($P47="","",IFERROR(INDEX('例_対応履歴'!$G$5:$G$304,MATCH($P47,'例_対応履歴'!$J$5:$J$304,0))&amp;"",""))</f>
        <v/>
      </c>
      <c r="M47" s="9">
        <f>IF($P47="","",IFERROR(IF(INDEX('例_対応履歴'!$H$5:$H$304,MATCH($P47,'例_対応履歴'!$J$5:$J$304,0))="","",INDEX('例_対応履歴'!$H$5:$H$304,MATCH($P47,'例_対応履歴'!$J$5:$J$304,0))),""))</f>
        <v/>
      </c>
      <c r="N47" s="10">
        <f>IF($A47="","",IF($K47=0,"対応履歴なし",IF($M47="",IF($L47="","次回予定なし","期日未定"),IF($M47&lt;'例_次回アクション'!$B$2,"期日超過 "&amp;('例_次回アクション'!$B$2-$M47)&amp;"日",IF($M47='例_次回アクション'!$B$2,"今日","あと"&amp;($M47-'例_次回アクション'!$B$2)&amp;"日")))))</f>
        <v/>
      </c>
      <c r="O47" s="12">
        <f>IF($P47="","",IF($M47&lt;&gt;"",$M47+ROW()/100000,IF($L47&lt;&gt;"",100000+ROW()/100000,"")))</f>
        <v/>
      </c>
      <c r="P47" s="12">
        <f>IF(OR($A47="",$K47=0),"",_xlfn.MAXIFS('例_対応履歴'!$J$5:$J$304,'例_対応履歴'!$B$5:$B$304,$A47))</f>
        <v/>
      </c>
    </row>
    <row r="48">
      <c r="A48" s="7" t="n"/>
      <c r="B48" s="7" t="n"/>
      <c r="C48" s="8" t="n"/>
      <c r="D48" s="8" t="n"/>
      <c r="E48" s="8" t="n"/>
      <c r="F48" s="8" t="n"/>
      <c r="G48" s="7" t="n"/>
      <c r="H48" s="7" t="n"/>
      <c r="I48" s="8" t="n"/>
      <c r="J48" s="9">
        <f>IF($A48="","",IF($K48=0,"",_xlfn.MAXIFS('例_対応履歴'!$A$5:$A$304,'例_対応履歴'!$B$5:$B$304,$A48)))</f>
        <v/>
      </c>
      <c r="K48" s="10">
        <f>IF($A48="","",COUNTIF('例_対応履歴'!$B$5:$B$304,$A48))</f>
        <v/>
      </c>
      <c r="L48" s="11">
        <f>IF($P48="","",IFERROR(INDEX('例_対応履歴'!$G$5:$G$304,MATCH($P48,'例_対応履歴'!$J$5:$J$304,0))&amp;"",""))</f>
        <v/>
      </c>
      <c r="M48" s="9">
        <f>IF($P48="","",IFERROR(IF(INDEX('例_対応履歴'!$H$5:$H$304,MATCH($P48,'例_対応履歴'!$J$5:$J$304,0))="","",INDEX('例_対応履歴'!$H$5:$H$304,MATCH($P48,'例_対応履歴'!$J$5:$J$304,0))),""))</f>
        <v/>
      </c>
      <c r="N48" s="10">
        <f>IF($A48="","",IF($K48=0,"対応履歴なし",IF($M48="",IF($L48="","次回予定なし","期日未定"),IF($M48&lt;'例_次回アクション'!$B$2,"期日超過 "&amp;('例_次回アクション'!$B$2-$M48)&amp;"日",IF($M48='例_次回アクション'!$B$2,"今日","あと"&amp;($M48-'例_次回アクション'!$B$2)&amp;"日")))))</f>
        <v/>
      </c>
      <c r="O48" s="12">
        <f>IF($P48="","",IF($M48&lt;&gt;"",$M48+ROW()/100000,IF($L48&lt;&gt;"",100000+ROW()/100000,"")))</f>
        <v/>
      </c>
      <c r="P48" s="12">
        <f>IF(OR($A48="",$K48=0),"",_xlfn.MAXIFS('例_対応履歴'!$J$5:$J$304,'例_対応履歴'!$B$5:$B$304,$A48))</f>
        <v/>
      </c>
    </row>
    <row r="49">
      <c r="A49" s="7" t="n"/>
      <c r="B49" s="7" t="n"/>
      <c r="C49" s="8" t="n"/>
      <c r="D49" s="8" t="n"/>
      <c r="E49" s="8" t="n"/>
      <c r="F49" s="8" t="n"/>
      <c r="G49" s="7" t="n"/>
      <c r="H49" s="7" t="n"/>
      <c r="I49" s="8" t="n"/>
      <c r="J49" s="9">
        <f>IF($A49="","",IF($K49=0,"",_xlfn.MAXIFS('例_対応履歴'!$A$5:$A$304,'例_対応履歴'!$B$5:$B$304,$A49)))</f>
        <v/>
      </c>
      <c r="K49" s="10">
        <f>IF($A49="","",COUNTIF('例_対応履歴'!$B$5:$B$304,$A49))</f>
        <v/>
      </c>
      <c r="L49" s="11">
        <f>IF($P49="","",IFERROR(INDEX('例_対応履歴'!$G$5:$G$304,MATCH($P49,'例_対応履歴'!$J$5:$J$304,0))&amp;"",""))</f>
        <v/>
      </c>
      <c r="M49" s="9">
        <f>IF($P49="","",IFERROR(IF(INDEX('例_対応履歴'!$H$5:$H$304,MATCH($P49,'例_対応履歴'!$J$5:$J$304,0))="","",INDEX('例_対応履歴'!$H$5:$H$304,MATCH($P49,'例_対応履歴'!$J$5:$J$304,0))),""))</f>
        <v/>
      </c>
      <c r="N49" s="10">
        <f>IF($A49="","",IF($K49=0,"対応履歴なし",IF($M49="",IF($L49="","次回予定なし","期日未定"),IF($M49&lt;'例_次回アクション'!$B$2,"期日超過 "&amp;('例_次回アクション'!$B$2-$M49)&amp;"日",IF($M49='例_次回アクション'!$B$2,"今日","あと"&amp;($M49-'例_次回アクション'!$B$2)&amp;"日")))))</f>
        <v/>
      </c>
      <c r="O49" s="12">
        <f>IF($P49="","",IF($M49&lt;&gt;"",$M49+ROW()/100000,IF($L49&lt;&gt;"",100000+ROW()/100000,"")))</f>
        <v/>
      </c>
      <c r="P49" s="12">
        <f>IF(OR($A49="",$K49=0),"",_xlfn.MAXIFS('例_対応履歴'!$J$5:$J$304,'例_対応履歴'!$B$5:$B$304,$A49))</f>
        <v/>
      </c>
    </row>
    <row r="50">
      <c r="A50" s="7" t="n"/>
      <c r="B50" s="7" t="n"/>
      <c r="C50" s="8" t="n"/>
      <c r="D50" s="8" t="n"/>
      <c r="E50" s="8" t="n"/>
      <c r="F50" s="8" t="n"/>
      <c r="G50" s="7" t="n"/>
      <c r="H50" s="7" t="n"/>
      <c r="I50" s="8" t="n"/>
      <c r="J50" s="9">
        <f>IF($A50="","",IF($K50=0,"",_xlfn.MAXIFS('例_対応履歴'!$A$5:$A$304,'例_対応履歴'!$B$5:$B$304,$A50)))</f>
        <v/>
      </c>
      <c r="K50" s="10">
        <f>IF($A50="","",COUNTIF('例_対応履歴'!$B$5:$B$304,$A50))</f>
        <v/>
      </c>
      <c r="L50" s="11">
        <f>IF($P50="","",IFERROR(INDEX('例_対応履歴'!$G$5:$G$304,MATCH($P50,'例_対応履歴'!$J$5:$J$304,0))&amp;"",""))</f>
        <v/>
      </c>
      <c r="M50" s="9">
        <f>IF($P50="","",IFERROR(IF(INDEX('例_対応履歴'!$H$5:$H$304,MATCH($P50,'例_対応履歴'!$J$5:$J$304,0))="","",INDEX('例_対応履歴'!$H$5:$H$304,MATCH($P50,'例_対応履歴'!$J$5:$J$304,0))),""))</f>
        <v/>
      </c>
      <c r="N50" s="10">
        <f>IF($A50="","",IF($K50=0,"対応履歴なし",IF($M50="",IF($L50="","次回予定なし","期日未定"),IF($M50&lt;'例_次回アクション'!$B$2,"期日超過 "&amp;('例_次回アクション'!$B$2-$M50)&amp;"日",IF($M50='例_次回アクション'!$B$2,"今日","あと"&amp;($M50-'例_次回アクション'!$B$2)&amp;"日")))))</f>
        <v/>
      </c>
      <c r="O50" s="12">
        <f>IF($P50="","",IF($M50&lt;&gt;"",$M50+ROW()/100000,IF($L50&lt;&gt;"",100000+ROW()/100000,"")))</f>
        <v/>
      </c>
      <c r="P50" s="12">
        <f>IF(OR($A50="",$K50=0),"",_xlfn.MAXIFS('例_対応履歴'!$J$5:$J$304,'例_対応履歴'!$B$5:$B$304,$A50))</f>
        <v/>
      </c>
    </row>
    <row r="51">
      <c r="A51" s="7" t="n"/>
      <c r="B51" s="7" t="n"/>
      <c r="C51" s="8" t="n"/>
      <c r="D51" s="8" t="n"/>
      <c r="E51" s="8" t="n"/>
      <c r="F51" s="8" t="n"/>
      <c r="G51" s="7" t="n"/>
      <c r="H51" s="7" t="n"/>
      <c r="I51" s="8" t="n"/>
      <c r="J51" s="9">
        <f>IF($A51="","",IF($K51=0,"",_xlfn.MAXIFS('例_対応履歴'!$A$5:$A$304,'例_対応履歴'!$B$5:$B$304,$A51)))</f>
        <v/>
      </c>
      <c r="K51" s="10">
        <f>IF($A51="","",COUNTIF('例_対応履歴'!$B$5:$B$304,$A51))</f>
        <v/>
      </c>
      <c r="L51" s="11">
        <f>IF($P51="","",IFERROR(INDEX('例_対応履歴'!$G$5:$G$304,MATCH($P51,'例_対応履歴'!$J$5:$J$304,0))&amp;"",""))</f>
        <v/>
      </c>
      <c r="M51" s="9">
        <f>IF($P51="","",IFERROR(IF(INDEX('例_対応履歴'!$H$5:$H$304,MATCH($P51,'例_対応履歴'!$J$5:$J$304,0))="","",INDEX('例_対応履歴'!$H$5:$H$304,MATCH($P51,'例_対応履歴'!$J$5:$J$304,0))),""))</f>
        <v/>
      </c>
      <c r="N51" s="10">
        <f>IF($A51="","",IF($K51=0,"対応履歴なし",IF($M51="",IF($L51="","次回予定なし","期日未定"),IF($M51&lt;'例_次回アクション'!$B$2,"期日超過 "&amp;('例_次回アクション'!$B$2-$M51)&amp;"日",IF($M51='例_次回アクション'!$B$2,"今日","あと"&amp;($M51-'例_次回アクション'!$B$2)&amp;"日")))))</f>
        <v/>
      </c>
      <c r="O51" s="12">
        <f>IF($P51="","",IF($M51&lt;&gt;"",$M51+ROW()/100000,IF($L51&lt;&gt;"",100000+ROW()/100000,"")))</f>
        <v/>
      </c>
      <c r="P51" s="12">
        <f>IF(OR($A51="",$K51=0),"",_xlfn.MAXIFS('例_対応履歴'!$J$5:$J$304,'例_対応履歴'!$B$5:$B$304,$A51))</f>
        <v/>
      </c>
    </row>
    <row r="52">
      <c r="A52" s="7" t="n"/>
      <c r="B52" s="7" t="n"/>
      <c r="C52" s="8" t="n"/>
      <c r="D52" s="8" t="n"/>
      <c r="E52" s="8" t="n"/>
      <c r="F52" s="8" t="n"/>
      <c r="G52" s="7" t="n"/>
      <c r="H52" s="7" t="n"/>
      <c r="I52" s="8" t="n"/>
      <c r="J52" s="9">
        <f>IF($A52="","",IF($K52=0,"",_xlfn.MAXIFS('例_対応履歴'!$A$5:$A$304,'例_対応履歴'!$B$5:$B$304,$A52)))</f>
        <v/>
      </c>
      <c r="K52" s="10">
        <f>IF($A52="","",COUNTIF('例_対応履歴'!$B$5:$B$304,$A52))</f>
        <v/>
      </c>
      <c r="L52" s="11">
        <f>IF($P52="","",IFERROR(INDEX('例_対応履歴'!$G$5:$G$304,MATCH($P52,'例_対応履歴'!$J$5:$J$304,0))&amp;"",""))</f>
        <v/>
      </c>
      <c r="M52" s="9">
        <f>IF($P52="","",IFERROR(IF(INDEX('例_対応履歴'!$H$5:$H$304,MATCH($P52,'例_対応履歴'!$J$5:$J$304,0))="","",INDEX('例_対応履歴'!$H$5:$H$304,MATCH($P52,'例_対応履歴'!$J$5:$J$304,0))),""))</f>
        <v/>
      </c>
      <c r="N52" s="10">
        <f>IF($A52="","",IF($K52=0,"対応履歴なし",IF($M52="",IF($L52="","次回予定なし","期日未定"),IF($M52&lt;'例_次回アクション'!$B$2,"期日超過 "&amp;('例_次回アクション'!$B$2-$M52)&amp;"日",IF($M52='例_次回アクション'!$B$2,"今日","あと"&amp;($M52-'例_次回アクション'!$B$2)&amp;"日")))))</f>
        <v/>
      </c>
      <c r="O52" s="12">
        <f>IF($P52="","",IF($M52&lt;&gt;"",$M52+ROW()/100000,IF($L52&lt;&gt;"",100000+ROW()/100000,"")))</f>
        <v/>
      </c>
      <c r="P52" s="12">
        <f>IF(OR($A52="",$K52=0),"",_xlfn.MAXIFS('例_対応履歴'!$J$5:$J$304,'例_対応履歴'!$B$5:$B$304,$A52))</f>
        <v/>
      </c>
    </row>
    <row r="53">
      <c r="A53" s="7" t="n"/>
      <c r="B53" s="7" t="n"/>
      <c r="C53" s="8" t="n"/>
      <c r="D53" s="8" t="n"/>
      <c r="E53" s="8" t="n"/>
      <c r="F53" s="8" t="n"/>
      <c r="G53" s="7" t="n"/>
      <c r="H53" s="7" t="n"/>
      <c r="I53" s="8" t="n"/>
      <c r="J53" s="9">
        <f>IF($A53="","",IF($K53=0,"",_xlfn.MAXIFS('例_対応履歴'!$A$5:$A$304,'例_対応履歴'!$B$5:$B$304,$A53)))</f>
        <v/>
      </c>
      <c r="K53" s="10">
        <f>IF($A53="","",COUNTIF('例_対応履歴'!$B$5:$B$304,$A53))</f>
        <v/>
      </c>
      <c r="L53" s="11">
        <f>IF($P53="","",IFERROR(INDEX('例_対応履歴'!$G$5:$G$304,MATCH($P53,'例_対応履歴'!$J$5:$J$304,0))&amp;"",""))</f>
        <v/>
      </c>
      <c r="M53" s="9">
        <f>IF($P53="","",IFERROR(IF(INDEX('例_対応履歴'!$H$5:$H$304,MATCH($P53,'例_対応履歴'!$J$5:$J$304,0))="","",INDEX('例_対応履歴'!$H$5:$H$304,MATCH($P53,'例_対応履歴'!$J$5:$J$304,0))),""))</f>
        <v/>
      </c>
      <c r="N53" s="10">
        <f>IF($A53="","",IF($K53=0,"対応履歴なし",IF($M53="",IF($L53="","次回予定なし","期日未定"),IF($M53&lt;'例_次回アクション'!$B$2,"期日超過 "&amp;('例_次回アクション'!$B$2-$M53)&amp;"日",IF($M53='例_次回アクション'!$B$2,"今日","あと"&amp;($M53-'例_次回アクション'!$B$2)&amp;"日")))))</f>
        <v/>
      </c>
      <c r="O53" s="12">
        <f>IF($P53="","",IF($M53&lt;&gt;"",$M53+ROW()/100000,IF($L53&lt;&gt;"",100000+ROW()/100000,"")))</f>
        <v/>
      </c>
      <c r="P53" s="12">
        <f>IF(OR($A53="",$K53=0),"",_xlfn.MAXIFS('例_対応履歴'!$J$5:$J$304,'例_対応履歴'!$B$5:$B$304,$A53))</f>
        <v/>
      </c>
    </row>
    <row r="54">
      <c r="A54" s="7" t="n"/>
      <c r="B54" s="7" t="n"/>
      <c r="C54" s="8" t="n"/>
      <c r="D54" s="8" t="n"/>
      <c r="E54" s="8" t="n"/>
      <c r="F54" s="8" t="n"/>
      <c r="G54" s="7" t="n"/>
      <c r="H54" s="7" t="n"/>
      <c r="I54" s="8" t="n"/>
      <c r="J54" s="9">
        <f>IF($A54="","",IF($K54=0,"",_xlfn.MAXIFS('例_対応履歴'!$A$5:$A$304,'例_対応履歴'!$B$5:$B$304,$A54)))</f>
        <v/>
      </c>
      <c r="K54" s="10">
        <f>IF($A54="","",COUNTIF('例_対応履歴'!$B$5:$B$304,$A54))</f>
        <v/>
      </c>
      <c r="L54" s="11">
        <f>IF($P54="","",IFERROR(INDEX('例_対応履歴'!$G$5:$G$304,MATCH($P54,'例_対応履歴'!$J$5:$J$304,0))&amp;"",""))</f>
        <v/>
      </c>
      <c r="M54" s="9">
        <f>IF($P54="","",IFERROR(IF(INDEX('例_対応履歴'!$H$5:$H$304,MATCH($P54,'例_対応履歴'!$J$5:$J$304,0))="","",INDEX('例_対応履歴'!$H$5:$H$304,MATCH($P54,'例_対応履歴'!$J$5:$J$304,0))),""))</f>
        <v/>
      </c>
      <c r="N54" s="10">
        <f>IF($A54="","",IF($K54=0,"対応履歴なし",IF($M54="",IF($L54="","次回予定なし","期日未定"),IF($M54&lt;'例_次回アクション'!$B$2,"期日超過 "&amp;('例_次回アクション'!$B$2-$M54)&amp;"日",IF($M54='例_次回アクション'!$B$2,"今日","あと"&amp;($M54-'例_次回アクション'!$B$2)&amp;"日")))))</f>
        <v/>
      </c>
      <c r="O54" s="12">
        <f>IF($P54="","",IF($M54&lt;&gt;"",$M54+ROW()/100000,IF($L54&lt;&gt;"",100000+ROW()/100000,"")))</f>
        <v/>
      </c>
      <c r="P54" s="12">
        <f>IF(OR($A54="",$K54=0),"",_xlfn.MAXIFS('例_対応履歴'!$J$5:$J$304,'例_対応履歴'!$B$5:$B$304,$A54))</f>
        <v/>
      </c>
    </row>
    <row r="55">
      <c r="A55" s="7" t="n"/>
      <c r="B55" s="7" t="n"/>
      <c r="C55" s="8" t="n"/>
      <c r="D55" s="8" t="n"/>
      <c r="E55" s="8" t="n"/>
      <c r="F55" s="8" t="n"/>
      <c r="G55" s="7" t="n"/>
      <c r="H55" s="7" t="n"/>
      <c r="I55" s="8" t="n"/>
      <c r="J55" s="9">
        <f>IF($A55="","",IF($K55=0,"",_xlfn.MAXIFS('例_対応履歴'!$A$5:$A$304,'例_対応履歴'!$B$5:$B$304,$A55)))</f>
        <v/>
      </c>
      <c r="K55" s="10">
        <f>IF($A55="","",COUNTIF('例_対応履歴'!$B$5:$B$304,$A55))</f>
        <v/>
      </c>
      <c r="L55" s="11">
        <f>IF($P55="","",IFERROR(INDEX('例_対応履歴'!$G$5:$G$304,MATCH($P55,'例_対応履歴'!$J$5:$J$304,0))&amp;"",""))</f>
        <v/>
      </c>
      <c r="M55" s="9">
        <f>IF($P55="","",IFERROR(IF(INDEX('例_対応履歴'!$H$5:$H$304,MATCH($P55,'例_対応履歴'!$J$5:$J$304,0))="","",INDEX('例_対応履歴'!$H$5:$H$304,MATCH($P55,'例_対応履歴'!$J$5:$J$304,0))),""))</f>
        <v/>
      </c>
      <c r="N55" s="10">
        <f>IF($A55="","",IF($K55=0,"対応履歴なし",IF($M55="",IF($L55="","次回予定なし","期日未定"),IF($M55&lt;'例_次回アクション'!$B$2,"期日超過 "&amp;('例_次回アクション'!$B$2-$M55)&amp;"日",IF($M55='例_次回アクション'!$B$2,"今日","あと"&amp;($M55-'例_次回アクション'!$B$2)&amp;"日")))))</f>
        <v/>
      </c>
      <c r="O55" s="12">
        <f>IF($P55="","",IF($M55&lt;&gt;"",$M55+ROW()/100000,IF($L55&lt;&gt;"",100000+ROW()/100000,"")))</f>
        <v/>
      </c>
      <c r="P55" s="12">
        <f>IF(OR($A55="",$K55=0),"",_xlfn.MAXIFS('例_対応履歴'!$J$5:$J$304,'例_対応履歴'!$B$5:$B$304,$A55))</f>
        <v/>
      </c>
    </row>
    <row r="56">
      <c r="A56" s="7" t="n"/>
      <c r="B56" s="7" t="n"/>
      <c r="C56" s="8" t="n"/>
      <c r="D56" s="8" t="n"/>
      <c r="E56" s="8" t="n"/>
      <c r="F56" s="8" t="n"/>
      <c r="G56" s="7" t="n"/>
      <c r="H56" s="7" t="n"/>
      <c r="I56" s="8" t="n"/>
      <c r="J56" s="9">
        <f>IF($A56="","",IF($K56=0,"",_xlfn.MAXIFS('例_対応履歴'!$A$5:$A$304,'例_対応履歴'!$B$5:$B$304,$A56)))</f>
        <v/>
      </c>
      <c r="K56" s="10">
        <f>IF($A56="","",COUNTIF('例_対応履歴'!$B$5:$B$304,$A56))</f>
        <v/>
      </c>
      <c r="L56" s="11">
        <f>IF($P56="","",IFERROR(INDEX('例_対応履歴'!$G$5:$G$304,MATCH($P56,'例_対応履歴'!$J$5:$J$304,0))&amp;"",""))</f>
        <v/>
      </c>
      <c r="M56" s="9">
        <f>IF($P56="","",IFERROR(IF(INDEX('例_対応履歴'!$H$5:$H$304,MATCH($P56,'例_対応履歴'!$J$5:$J$304,0))="","",INDEX('例_対応履歴'!$H$5:$H$304,MATCH($P56,'例_対応履歴'!$J$5:$J$304,0))),""))</f>
        <v/>
      </c>
      <c r="N56" s="10">
        <f>IF($A56="","",IF($K56=0,"対応履歴なし",IF($M56="",IF($L56="","次回予定なし","期日未定"),IF($M56&lt;'例_次回アクション'!$B$2,"期日超過 "&amp;('例_次回アクション'!$B$2-$M56)&amp;"日",IF($M56='例_次回アクション'!$B$2,"今日","あと"&amp;($M56-'例_次回アクション'!$B$2)&amp;"日")))))</f>
        <v/>
      </c>
      <c r="O56" s="12">
        <f>IF($P56="","",IF($M56&lt;&gt;"",$M56+ROW()/100000,IF($L56&lt;&gt;"",100000+ROW()/100000,"")))</f>
        <v/>
      </c>
      <c r="P56" s="12">
        <f>IF(OR($A56="",$K56=0),"",_xlfn.MAXIFS('例_対応履歴'!$J$5:$J$304,'例_対応履歴'!$B$5:$B$304,$A56))</f>
        <v/>
      </c>
    </row>
    <row r="57">
      <c r="A57" s="7" t="n"/>
      <c r="B57" s="7" t="n"/>
      <c r="C57" s="8" t="n"/>
      <c r="D57" s="8" t="n"/>
      <c r="E57" s="8" t="n"/>
      <c r="F57" s="8" t="n"/>
      <c r="G57" s="7" t="n"/>
      <c r="H57" s="7" t="n"/>
      <c r="I57" s="8" t="n"/>
      <c r="J57" s="9">
        <f>IF($A57="","",IF($K57=0,"",_xlfn.MAXIFS('例_対応履歴'!$A$5:$A$304,'例_対応履歴'!$B$5:$B$304,$A57)))</f>
        <v/>
      </c>
      <c r="K57" s="10">
        <f>IF($A57="","",COUNTIF('例_対応履歴'!$B$5:$B$304,$A57))</f>
        <v/>
      </c>
      <c r="L57" s="11">
        <f>IF($P57="","",IFERROR(INDEX('例_対応履歴'!$G$5:$G$304,MATCH($P57,'例_対応履歴'!$J$5:$J$304,0))&amp;"",""))</f>
        <v/>
      </c>
      <c r="M57" s="9">
        <f>IF($P57="","",IFERROR(IF(INDEX('例_対応履歴'!$H$5:$H$304,MATCH($P57,'例_対応履歴'!$J$5:$J$304,0))="","",INDEX('例_対応履歴'!$H$5:$H$304,MATCH($P57,'例_対応履歴'!$J$5:$J$304,0))),""))</f>
        <v/>
      </c>
      <c r="N57" s="10">
        <f>IF($A57="","",IF($K57=0,"対応履歴なし",IF($M57="",IF($L57="","次回予定なし","期日未定"),IF($M57&lt;'例_次回アクション'!$B$2,"期日超過 "&amp;('例_次回アクション'!$B$2-$M57)&amp;"日",IF($M57='例_次回アクション'!$B$2,"今日","あと"&amp;($M57-'例_次回アクション'!$B$2)&amp;"日")))))</f>
        <v/>
      </c>
      <c r="O57" s="12">
        <f>IF($P57="","",IF($M57&lt;&gt;"",$M57+ROW()/100000,IF($L57&lt;&gt;"",100000+ROW()/100000,"")))</f>
        <v/>
      </c>
      <c r="P57" s="12">
        <f>IF(OR($A57="",$K57=0),"",_xlfn.MAXIFS('例_対応履歴'!$J$5:$J$304,'例_対応履歴'!$B$5:$B$304,$A57))</f>
        <v/>
      </c>
    </row>
    <row r="58">
      <c r="A58" s="7" t="n"/>
      <c r="B58" s="7" t="n"/>
      <c r="C58" s="8" t="n"/>
      <c r="D58" s="8" t="n"/>
      <c r="E58" s="8" t="n"/>
      <c r="F58" s="8" t="n"/>
      <c r="G58" s="7" t="n"/>
      <c r="H58" s="7" t="n"/>
      <c r="I58" s="8" t="n"/>
      <c r="J58" s="9">
        <f>IF($A58="","",IF($K58=0,"",_xlfn.MAXIFS('例_対応履歴'!$A$5:$A$304,'例_対応履歴'!$B$5:$B$304,$A58)))</f>
        <v/>
      </c>
      <c r="K58" s="10">
        <f>IF($A58="","",COUNTIF('例_対応履歴'!$B$5:$B$304,$A58))</f>
        <v/>
      </c>
      <c r="L58" s="11">
        <f>IF($P58="","",IFERROR(INDEX('例_対応履歴'!$G$5:$G$304,MATCH($P58,'例_対応履歴'!$J$5:$J$304,0))&amp;"",""))</f>
        <v/>
      </c>
      <c r="M58" s="9">
        <f>IF($P58="","",IFERROR(IF(INDEX('例_対応履歴'!$H$5:$H$304,MATCH($P58,'例_対応履歴'!$J$5:$J$304,0))="","",INDEX('例_対応履歴'!$H$5:$H$304,MATCH($P58,'例_対応履歴'!$J$5:$J$304,0))),""))</f>
        <v/>
      </c>
      <c r="N58" s="10">
        <f>IF($A58="","",IF($K58=0,"対応履歴なし",IF($M58="",IF($L58="","次回予定なし","期日未定"),IF($M58&lt;'例_次回アクション'!$B$2,"期日超過 "&amp;('例_次回アクション'!$B$2-$M58)&amp;"日",IF($M58='例_次回アクション'!$B$2,"今日","あと"&amp;($M58-'例_次回アクション'!$B$2)&amp;"日")))))</f>
        <v/>
      </c>
      <c r="O58" s="12">
        <f>IF($P58="","",IF($M58&lt;&gt;"",$M58+ROW()/100000,IF($L58&lt;&gt;"",100000+ROW()/100000,"")))</f>
        <v/>
      </c>
      <c r="P58" s="12">
        <f>IF(OR($A58="",$K58=0),"",_xlfn.MAXIFS('例_対応履歴'!$J$5:$J$304,'例_対応履歴'!$B$5:$B$304,$A58))</f>
        <v/>
      </c>
    </row>
    <row r="59">
      <c r="A59" s="7" t="n"/>
      <c r="B59" s="7" t="n"/>
      <c r="C59" s="8" t="n"/>
      <c r="D59" s="8" t="n"/>
      <c r="E59" s="8" t="n"/>
      <c r="F59" s="8" t="n"/>
      <c r="G59" s="7" t="n"/>
      <c r="H59" s="7" t="n"/>
      <c r="I59" s="8" t="n"/>
      <c r="J59" s="9">
        <f>IF($A59="","",IF($K59=0,"",_xlfn.MAXIFS('例_対応履歴'!$A$5:$A$304,'例_対応履歴'!$B$5:$B$304,$A59)))</f>
        <v/>
      </c>
      <c r="K59" s="10">
        <f>IF($A59="","",COUNTIF('例_対応履歴'!$B$5:$B$304,$A59))</f>
        <v/>
      </c>
      <c r="L59" s="11">
        <f>IF($P59="","",IFERROR(INDEX('例_対応履歴'!$G$5:$G$304,MATCH($P59,'例_対応履歴'!$J$5:$J$304,0))&amp;"",""))</f>
        <v/>
      </c>
      <c r="M59" s="9">
        <f>IF($P59="","",IFERROR(IF(INDEX('例_対応履歴'!$H$5:$H$304,MATCH($P59,'例_対応履歴'!$J$5:$J$304,0))="","",INDEX('例_対応履歴'!$H$5:$H$304,MATCH($P59,'例_対応履歴'!$J$5:$J$304,0))),""))</f>
        <v/>
      </c>
      <c r="N59" s="10">
        <f>IF($A59="","",IF($K59=0,"対応履歴なし",IF($M59="",IF($L59="","次回予定なし","期日未定"),IF($M59&lt;'例_次回アクション'!$B$2,"期日超過 "&amp;('例_次回アクション'!$B$2-$M59)&amp;"日",IF($M59='例_次回アクション'!$B$2,"今日","あと"&amp;($M59-'例_次回アクション'!$B$2)&amp;"日")))))</f>
        <v/>
      </c>
      <c r="O59" s="12">
        <f>IF($P59="","",IF($M59&lt;&gt;"",$M59+ROW()/100000,IF($L59&lt;&gt;"",100000+ROW()/100000,"")))</f>
        <v/>
      </c>
      <c r="P59" s="12">
        <f>IF(OR($A59="",$K59=0),"",_xlfn.MAXIFS('例_対応履歴'!$J$5:$J$304,'例_対応履歴'!$B$5:$B$304,$A59))</f>
        <v/>
      </c>
    </row>
    <row r="60">
      <c r="A60" s="7" t="n"/>
      <c r="B60" s="7" t="n"/>
      <c r="C60" s="8" t="n"/>
      <c r="D60" s="8" t="n"/>
      <c r="E60" s="8" t="n"/>
      <c r="F60" s="8" t="n"/>
      <c r="G60" s="7" t="n"/>
      <c r="H60" s="7" t="n"/>
      <c r="I60" s="8" t="n"/>
      <c r="J60" s="9">
        <f>IF($A60="","",IF($K60=0,"",_xlfn.MAXIFS('例_対応履歴'!$A$5:$A$304,'例_対応履歴'!$B$5:$B$304,$A60)))</f>
        <v/>
      </c>
      <c r="K60" s="10">
        <f>IF($A60="","",COUNTIF('例_対応履歴'!$B$5:$B$304,$A60))</f>
        <v/>
      </c>
      <c r="L60" s="11">
        <f>IF($P60="","",IFERROR(INDEX('例_対応履歴'!$G$5:$G$304,MATCH($P60,'例_対応履歴'!$J$5:$J$304,0))&amp;"",""))</f>
        <v/>
      </c>
      <c r="M60" s="9">
        <f>IF($P60="","",IFERROR(IF(INDEX('例_対応履歴'!$H$5:$H$304,MATCH($P60,'例_対応履歴'!$J$5:$J$304,0))="","",INDEX('例_対応履歴'!$H$5:$H$304,MATCH($P60,'例_対応履歴'!$J$5:$J$304,0))),""))</f>
        <v/>
      </c>
      <c r="N60" s="10">
        <f>IF($A60="","",IF($K60=0,"対応履歴なし",IF($M60="",IF($L60="","次回予定なし","期日未定"),IF($M60&lt;'例_次回アクション'!$B$2,"期日超過 "&amp;('例_次回アクション'!$B$2-$M60)&amp;"日",IF($M60='例_次回アクション'!$B$2,"今日","あと"&amp;($M60-'例_次回アクション'!$B$2)&amp;"日")))))</f>
        <v/>
      </c>
      <c r="O60" s="12">
        <f>IF($P60="","",IF($M60&lt;&gt;"",$M60+ROW()/100000,IF($L60&lt;&gt;"",100000+ROW()/100000,"")))</f>
        <v/>
      </c>
      <c r="P60" s="12">
        <f>IF(OR($A60="",$K60=0),"",_xlfn.MAXIFS('例_対応履歴'!$J$5:$J$304,'例_対応履歴'!$B$5:$B$304,$A60))</f>
        <v/>
      </c>
    </row>
    <row r="61">
      <c r="A61" s="7" t="n"/>
      <c r="B61" s="7" t="n"/>
      <c r="C61" s="8" t="n"/>
      <c r="D61" s="8" t="n"/>
      <c r="E61" s="8" t="n"/>
      <c r="F61" s="8" t="n"/>
      <c r="G61" s="7" t="n"/>
      <c r="H61" s="7" t="n"/>
      <c r="I61" s="8" t="n"/>
      <c r="J61" s="9">
        <f>IF($A61="","",IF($K61=0,"",_xlfn.MAXIFS('例_対応履歴'!$A$5:$A$304,'例_対応履歴'!$B$5:$B$304,$A61)))</f>
        <v/>
      </c>
      <c r="K61" s="10">
        <f>IF($A61="","",COUNTIF('例_対応履歴'!$B$5:$B$304,$A61))</f>
        <v/>
      </c>
      <c r="L61" s="11">
        <f>IF($P61="","",IFERROR(INDEX('例_対応履歴'!$G$5:$G$304,MATCH($P61,'例_対応履歴'!$J$5:$J$304,0))&amp;"",""))</f>
        <v/>
      </c>
      <c r="M61" s="9">
        <f>IF($P61="","",IFERROR(IF(INDEX('例_対応履歴'!$H$5:$H$304,MATCH($P61,'例_対応履歴'!$J$5:$J$304,0))="","",INDEX('例_対応履歴'!$H$5:$H$304,MATCH($P61,'例_対応履歴'!$J$5:$J$304,0))),""))</f>
        <v/>
      </c>
      <c r="N61" s="10">
        <f>IF($A61="","",IF($K61=0,"対応履歴なし",IF($M61="",IF($L61="","次回予定なし","期日未定"),IF($M61&lt;'例_次回アクション'!$B$2,"期日超過 "&amp;('例_次回アクション'!$B$2-$M61)&amp;"日",IF($M61='例_次回アクション'!$B$2,"今日","あと"&amp;($M61-'例_次回アクション'!$B$2)&amp;"日")))))</f>
        <v/>
      </c>
      <c r="O61" s="12">
        <f>IF($P61="","",IF($M61&lt;&gt;"",$M61+ROW()/100000,IF($L61&lt;&gt;"",100000+ROW()/100000,"")))</f>
        <v/>
      </c>
      <c r="P61" s="12">
        <f>IF(OR($A61="",$K61=0),"",_xlfn.MAXIFS('例_対応履歴'!$J$5:$J$304,'例_対応履歴'!$B$5:$B$304,$A61))</f>
        <v/>
      </c>
    </row>
    <row r="62">
      <c r="A62" s="7" t="n"/>
      <c r="B62" s="7" t="n"/>
      <c r="C62" s="8" t="n"/>
      <c r="D62" s="8" t="n"/>
      <c r="E62" s="8" t="n"/>
      <c r="F62" s="8" t="n"/>
      <c r="G62" s="7" t="n"/>
      <c r="H62" s="7" t="n"/>
      <c r="I62" s="8" t="n"/>
      <c r="J62" s="9">
        <f>IF($A62="","",IF($K62=0,"",_xlfn.MAXIFS('例_対応履歴'!$A$5:$A$304,'例_対応履歴'!$B$5:$B$304,$A62)))</f>
        <v/>
      </c>
      <c r="K62" s="10">
        <f>IF($A62="","",COUNTIF('例_対応履歴'!$B$5:$B$304,$A62))</f>
        <v/>
      </c>
      <c r="L62" s="11">
        <f>IF($P62="","",IFERROR(INDEX('例_対応履歴'!$G$5:$G$304,MATCH($P62,'例_対応履歴'!$J$5:$J$304,0))&amp;"",""))</f>
        <v/>
      </c>
      <c r="M62" s="9">
        <f>IF($P62="","",IFERROR(IF(INDEX('例_対応履歴'!$H$5:$H$304,MATCH($P62,'例_対応履歴'!$J$5:$J$304,0))="","",INDEX('例_対応履歴'!$H$5:$H$304,MATCH($P62,'例_対応履歴'!$J$5:$J$304,0))),""))</f>
        <v/>
      </c>
      <c r="N62" s="10">
        <f>IF($A62="","",IF($K62=0,"対応履歴なし",IF($M62="",IF($L62="","次回予定なし","期日未定"),IF($M62&lt;'例_次回アクション'!$B$2,"期日超過 "&amp;('例_次回アクション'!$B$2-$M62)&amp;"日",IF($M62='例_次回アクション'!$B$2,"今日","あと"&amp;($M62-'例_次回アクション'!$B$2)&amp;"日")))))</f>
        <v/>
      </c>
      <c r="O62" s="12">
        <f>IF($P62="","",IF($M62&lt;&gt;"",$M62+ROW()/100000,IF($L62&lt;&gt;"",100000+ROW()/100000,"")))</f>
        <v/>
      </c>
      <c r="P62" s="12">
        <f>IF(OR($A62="",$K62=0),"",_xlfn.MAXIFS('例_対応履歴'!$J$5:$J$304,'例_対応履歴'!$B$5:$B$304,$A62))</f>
        <v/>
      </c>
    </row>
    <row r="63">
      <c r="A63" s="7" t="n"/>
      <c r="B63" s="7" t="n"/>
      <c r="C63" s="8" t="n"/>
      <c r="D63" s="8" t="n"/>
      <c r="E63" s="8" t="n"/>
      <c r="F63" s="8" t="n"/>
      <c r="G63" s="7" t="n"/>
      <c r="H63" s="7" t="n"/>
      <c r="I63" s="8" t="n"/>
      <c r="J63" s="9">
        <f>IF($A63="","",IF($K63=0,"",_xlfn.MAXIFS('例_対応履歴'!$A$5:$A$304,'例_対応履歴'!$B$5:$B$304,$A63)))</f>
        <v/>
      </c>
      <c r="K63" s="10">
        <f>IF($A63="","",COUNTIF('例_対応履歴'!$B$5:$B$304,$A63))</f>
        <v/>
      </c>
      <c r="L63" s="11">
        <f>IF($P63="","",IFERROR(INDEX('例_対応履歴'!$G$5:$G$304,MATCH($P63,'例_対応履歴'!$J$5:$J$304,0))&amp;"",""))</f>
        <v/>
      </c>
      <c r="M63" s="9">
        <f>IF($P63="","",IFERROR(IF(INDEX('例_対応履歴'!$H$5:$H$304,MATCH($P63,'例_対応履歴'!$J$5:$J$304,0))="","",INDEX('例_対応履歴'!$H$5:$H$304,MATCH($P63,'例_対応履歴'!$J$5:$J$304,0))),""))</f>
        <v/>
      </c>
      <c r="N63" s="10">
        <f>IF($A63="","",IF($K63=0,"対応履歴なし",IF($M63="",IF($L63="","次回予定なし","期日未定"),IF($M63&lt;'例_次回アクション'!$B$2,"期日超過 "&amp;('例_次回アクション'!$B$2-$M63)&amp;"日",IF($M63='例_次回アクション'!$B$2,"今日","あと"&amp;($M63-'例_次回アクション'!$B$2)&amp;"日")))))</f>
        <v/>
      </c>
      <c r="O63" s="12">
        <f>IF($P63="","",IF($M63&lt;&gt;"",$M63+ROW()/100000,IF($L63&lt;&gt;"",100000+ROW()/100000,"")))</f>
        <v/>
      </c>
      <c r="P63" s="12">
        <f>IF(OR($A63="",$K63=0),"",_xlfn.MAXIFS('例_対応履歴'!$J$5:$J$304,'例_対応履歴'!$B$5:$B$304,$A63))</f>
        <v/>
      </c>
    </row>
    <row r="64">
      <c r="A64" s="7" t="n"/>
      <c r="B64" s="7" t="n"/>
      <c r="C64" s="8" t="n"/>
      <c r="D64" s="8" t="n"/>
      <c r="E64" s="8" t="n"/>
      <c r="F64" s="8" t="n"/>
      <c r="G64" s="7" t="n"/>
      <c r="H64" s="7" t="n"/>
      <c r="I64" s="8" t="n"/>
      <c r="J64" s="9">
        <f>IF($A64="","",IF($K64=0,"",_xlfn.MAXIFS('例_対応履歴'!$A$5:$A$304,'例_対応履歴'!$B$5:$B$304,$A64)))</f>
        <v/>
      </c>
      <c r="K64" s="10">
        <f>IF($A64="","",COUNTIF('例_対応履歴'!$B$5:$B$304,$A64))</f>
        <v/>
      </c>
      <c r="L64" s="11">
        <f>IF($P64="","",IFERROR(INDEX('例_対応履歴'!$G$5:$G$304,MATCH($P64,'例_対応履歴'!$J$5:$J$304,0))&amp;"",""))</f>
        <v/>
      </c>
      <c r="M64" s="9">
        <f>IF($P64="","",IFERROR(IF(INDEX('例_対応履歴'!$H$5:$H$304,MATCH($P64,'例_対応履歴'!$J$5:$J$304,0))="","",INDEX('例_対応履歴'!$H$5:$H$304,MATCH($P64,'例_対応履歴'!$J$5:$J$304,0))),""))</f>
        <v/>
      </c>
      <c r="N64" s="10">
        <f>IF($A64="","",IF($K64=0,"対応履歴なし",IF($M64="",IF($L64="","次回予定なし","期日未定"),IF($M64&lt;'例_次回アクション'!$B$2,"期日超過 "&amp;('例_次回アクション'!$B$2-$M64)&amp;"日",IF($M64='例_次回アクション'!$B$2,"今日","あと"&amp;($M64-'例_次回アクション'!$B$2)&amp;"日")))))</f>
        <v/>
      </c>
      <c r="O64" s="12">
        <f>IF($P64="","",IF($M64&lt;&gt;"",$M64+ROW()/100000,IF($L64&lt;&gt;"",100000+ROW()/100000,"")))</f>
        <v/>
      </c>
      <c r="P64" s="12">
        <f>IF(OR($A64="",$K64=0),"",_xlfn.MAXIFS('例_対応履歴'!$J$5:$J$304,'例_対応履歴'!$B$5:$B$304,$A64))</f>
        <v/>
      </c>
    </row>
    <row r="65">
      <c r="A65" s="7" t="n"/>
      <c r="B65" s="7" t="n"/>
      <c r="C65" s="8" t="n"/>
      <c r="D65" s="8" t="n"/>
      <c r="E65" s="8" t="n"/>
      <c r="F65" s="8" t="n"/>
      <c r="G65" s="7" t="n"/>
      <c r="H65" s="7" t="n"/>
      <c r="I65" s="8" t="n"/>
      <c r="J65" s="9">
        <f>IF($A65="","",IF($K65=0,"",_xlfn.MAXIFS('例_対応履歴'!$A$5:$A$304,'例_対応履歴'!$B$5:$B$304,$A65)))</f>
        <v/>
      </c>
      <c r="K65" s="10">
        <f>IF($A65="","",COUNTIF('例_対応履歴'!$B$5:$B$304,$A65))</f>
        <v/>
      </c>
      <c r="L65" s="11">
        <f>IF($P65="","",IFERROR(INDEX('例_対応履歴'!$G$5:$G$304,MATCH($P65,'例_対応履歴'!$J$5:$J$304,0))&amp;"",""))</f>
        <v/>
      </c>
      <c r="M65" s="9">
        <f>IF($P65="","",IFERROR(IF(INDEX('例_対応履歴'!$H$5:$H$304,MATCH($P65,'例_対応履歴'!$J$5:$J$304,0))="","",INDEX('例_対応履歴'!$H$5:$H$304,MATCH($P65,'例_対応履歴'!$J$5:$J$304,0))),""))</f>
        <v/>
      </c>
      <c r="N65" s="10">
        <f>IF($A65="","",IF($K65=0,"対応履歴なし",IF($M65="",IF($L65="","次回予定なし","期日未定"),IF($M65&lt;'例_次回アクション'!$B$2,"期日超過 "&amp;('例_次回アクション'!$B$2-$M65)&amp;"日",IF($M65='例_次回アクション'!$B$2,"今日","あと"&amp;($M65-'例_次回アクション'!$B$2)&amp;"日")))))</f>
        <v/>
      </c>
      <c r="O65" s="12">
        <f>IF($P65="","",IF($M65&lt;&gt;"",$M65+ROW()/100000,IF($L65&lt;&gt;"",100000+ROW()/100000,"")))</f>
        <v/>
      </c>
      <c r="P65" s="12">
        <f>IF(OR($A65="",$K65=0),"",_xlfn.MAXIFS('例_対応履歴'!$J$5:$J$304,'例_対応履歴'!$B$5:$B$304,$A65))</f>
        <v/>
      </c>
    </row>
    <row r="66">
      <c r="A66" s="7" t="n"/>
      <c r="B66" s="7" t="n"/>
      <c r="C66" s="8" t="n"/>
      <c r="D66" s="8" t="n"/>
      <c r="E66" s="8" t="n"/>
      <c r="F66" s="8" t="n"/>
      <c r="G66" s="7" t="n"/>
      <c r="H66" s="7" t="n"/>
      <c r="I66" s="8" t="n"/>
      <c r="J66" s="9">
        <f>IF($A66="","",IF($K66=0,"",_xlfn.MAXIFS('例_対応履歴'!$A$5:$A$304,'例_対応履歴'!$B$5:$B$304,$A66)))</f>
        <v/>
      </c>
      <c r="K66" s="10">
        <f>IF($A66="","",COUNTIF('例_対応履歴'!$B$5:$B$304,$A66))</f>
        <v/>
      </c>
      <c r="L66" s="11">
        <f>IF($P66="","",IFERROR(INDEX('例_対応履歴'!$G$5:$G$304,MATCH($P66,'例_対応履歴'!$J$5:$J$304,0))&amp;"",""))</f>
        <v/>
      </c>
      <c r="M66" s="9">
        <f>IF($P66="","",IFERROR(IF(INDEX('例_対応履歴'!$H$5:$H$304,MATCH($P66,'例_対応履歴'!$J$5:$J$304,0))="","",INDEX('例_対応履歴'!$H$5:$H$304,MATCH($P66,'例_対応履歴'!$J$5:$J$304,0))),""))</f>
        <v/>
      </c>
      <c r="N66" s="10">
        <f>IF($A66="","",IF($K66=0,"対応履歴なし",IF($M66="",IF($L66="","次回予定なし","期日未定"),IF($M66&lt;'例_次回アクション'!$B$2,"期日超過 "&amp;('例_次回アクション'!$B$2-$M66)&amp;"日",IF($M66='例_次回アクション'!$B$2,"今日","あと"&amp;($M66-'例_次回アクション'!$B$2)&amp;"日")))))</f>
        <v/>
      </c>
      <c r="O66" s="12">
        <f>IF($P66="","",IF($M66&lt;&gt;"",$M66+ROW()/100000,IF($L66&lt;&gt;"",100000+ROW()/100000,"")))</f>
        <v/>
      </c>
      <c r="P66" s="12">
        <f>IF(OR($A66="",$K66=0),"",_xlfn.MAXIFS('例_対応履歴'!$J$5:$J$304,'例_対応履歴'!$B$5:$B$304,$A66))</f>
        <v/>
      </c>
    </row>
    <row r="67">
      <c r="A67" s="7" t="n"/>
      <c r="B67" s="7" t="n"/>
      <c r="C67" s="8" t="n"/>
      <c r="D67" s="8" t="n"/>
      <c r="E67" s="8" t="n"/>
      <c r="F67" s="8" t="n"/>
      <c r="G67" s="7" t="n"/>
      <c r="H67" s="7" t="n"/>
      <c r="I67" s="8" t="n"/>
      <c r="J67" s="9">
        <f>IF($A67="","",IF($K67=0,"",_xlfn.MAXIFS('例_対応履歴'!$A$5:$A$304,'例_対応履歴'!$B$5:$B$304,$A67)))</f>
        <v/>
      </c>
      <c r="K67" s="10">
        <f>IF($A67="","",COUNTIF('例_対応履歴'!$B$5:$B$304,$A67))</f>
        <v/>
      </c>
      <c r="L67" s="11">
        <f>IF($P67="","",IFERROR(INDEX('例_対応履歴'!$G$5:$G$304,MATCH($P67,'例_対応履歴'!$J$5:$J$304,0))&amp;"",""))</f>
        <v/>
      </c>
      <c r="M67" s="9">
        <f>IF($P67="","",IFERROR(IF(INDEX('例_対応履歴'!$H$5:$H$304,MATCH($P67,'例_対応履歴'!$J$5:$J$304,0))="","",INDEX('例_対応履歴'!$H$5:$H$304,MATCH($P67,'例_対応履歴'!$J$5:$J$304,0))),""))</f>
        <v/>
      </c>
      <c r="N67" s="10">
        <f>IF($A67="","",IF($K67=0,"対応履歴なし",IF($M67="",IF($L67="","次回予定なし","期日未定"),IF($M67&lt;'例_次回アクション'!$B$2,"期日超過 "&amp;('例_次回アクション'!$B$2-$M67)&amp;"日",IF($M67='例_次回アクション'!$B$2,"今日","あと"&amp;($M67-'例_次回アクション'!$B$2)&amp;"日")))))</f>
        <v/>
      </c>
      <c r="O67" s="12">
        <f>IF($P67="","",IF($M67&lt;&gt;"",$M67+ROW()/100000,IF($L67&lt;&gt;"",100000+ROW()/100000,"")))</f>
        <v/>
      </c>
      <c r="P67" s="12">
        <f>IF(OR($A67="",$K67=0),"",_xlfn.MAXIFS('例_対応履歴'!$J$5:$J$304,'例_対応履歴'!$B$5:$B$304,$A67))</f>
        <v/>
      </c>
    </row>
    <row r="68">
      <c r="A68" s="7" t="n"/>
      <c r="B68" s="7" t="n"/>
      <c r="C68" s="8" t="n"/>
      <c r="D68" s="8" t="n"/>
      <c r="E68" s="8" t="n"/>
      <c r="F68" s="8" t="n"/>
      <c r="G68" s="7" t="n"/>
      <c r="H68" s="7" t="n"/>
      <c r="I68" s="8" t="n"/>
      <c r="J68" s="9">
        <f>IF($A68="","",IF($K68=0,"",_xlfn.MAXIFS('例_対応履歴'!$A$5:$A$304,'例_対応履歴'!$B$5:$B$304,$A68)))</f>
        <v/>
      </c>
      <c r="K68" s="10">
        <f>IF($A68="","",COUNTIF('例_対応履歴'!$B$5:$B$304,$A68))</f>
        <v/>
      </c>
      <c r="L68" s="11">
        <f>IF($P68="","",IFERROR(INDEX('例_対応履歴'!$G$5:$G$304,MATCH($P68,'例_対応履歴'!$J$5:$J$304,0))&amp;"",""))</f>
        <v/>
      </c>
      <c r="M68" s="9">
        <f>IF($P68="","",IFERROR(IF(INDEX('例_対応履歴'!$H$5:$H$304,MATCH($P68,'例_対応履歴'!$J$5:$J$304,0))="","",INDEX('例_対応履歴'!$H$5:$H$304,MATCH($P68,'例_対応履歴'!$J$5:$J$304,0))),""))</f>
        <v/>
      </c>
      <c r="N68" s="10">
        <f>IF($A68="","",IF($K68=0,"対応履歴なし",IF($M68="",IF($L68="","次回予定なし","期日未定"),IF($M68&lt;'例_次回アクション'!$B$2,"期日超過 "&amp;('例_次回アクション'!$B$2-$M68)&amp;"日",IF($M68='例_次回アクション'!$B$2,"今日","あと"&amp;($M68-'例_次回アクション'!$B$2)&amp;"日")))))</f>
        <v/>
      </c>
      <c r="O68" s="12">
        <f>IF($P68="","",IF($M68&lt;&gt;"",$M68+ROW()/100000,IF($L68&lt;&gt;"",100000+ROW()/100000,"")))</f>
        <v/>
      </c>
      <c r="P68" s="12">
        <f>IF(OR($A68="",$K68=0),"",_xlfn.MAXIFS('例_対応履歴'!$J$5:$J$304,'例_対応履歴'!$B$5:$B$304,$A68))</f>
        <v/>
      </c>
    </row>
    <row r="69">
      <c r="A69" s="7" t="n"/>
      <c r="B69" s="7" t="n"/>
      <c r="C69" s="8" t="n"/>
      <c r="D69" s="8" t="n"/>
      <c r="E69" s="8" t="n"/>
      <c r="F69" s="8" t="n"/>
      <c r="G69" s="7" t="n"/>
      <c r="H69" s="7" t="n"/>
      <c r="I69" s="8" t="n"/>
      <c r="J69" s="9">
        <f>IF($A69="","",IF($K69=0,"",_xlfn.MAXIFS('例_対応履歴'!$A$5:$A$304,'例_対応履歴'!$B$5:$B$304,$A69)))</f>
        <v/>
      </c>
      <c r="K69" s="10">
        <f>IF($A69="","",COUNTIF('例_対応履歴'!$B$5:$B$304,$A69))</f>
        <v/>
      </c>
      <c r="L69" s="11">
        <f>IF($P69="","",IFERROR(INDEX('例_対応履歴'!$G$5:$G$304,MATCH($P69,'例_対応履歴'!$J$5:$J$304,0))&amp;"",""))</f>
        <v/>
      </c>
      <c r="M69" s="9">
        <f>IF($P69="","",IFERROR(IF(INDEX('例_対応履歴'!$H$5:$H$304,MATCH($P69,'例_対応履歴'!$J$5:$J$304,0))="","",INDEX('例_対応履歴'!$H$5:$H$304,MATCH($P69,'例_対応履歴'!$J$5:$J$304,0))),""))</f>
        <v/>
      </c>
      <c r="N69" s="10">
        <f>IF($A69="","",IF($K69=0,"対応履歴なし",IF($M69="",IF($L69="","次回予定なし","期日未定"),IF($M69&lt;'例_次回アクション'!$B$2,"期日超過 "&amp;('例_次回アクション'!$B$2-$M69)&amp;"日",IF($M69='例_次回アクション'!$B$2,"今日","あと"&amp;($M69-'例_次回アクション'!$B$2)&amp;"日")))))</f>
        <v/>
      </c>
      <c r="O69" s="12">
        <f>IF($P69="","",IF($M69&lt;&gt;"",$M69+ROW()/100000,IF($L69&lt;&gt;"",100000+ROW()/100000,"")))</f>
        <v/>
      </c>
      <c r="P69" s="12">
        <f>IF(OR($A69="",$K69=0),"",_xlfn.MAXIFS('例_対応履歴'!$J$5:$J$304,'例_対応履歴'!$B$5:$B$304,$A69))</f>
        <v/>
      </c>
    </row>
    <row r="70">
      <c r="A70" s="7" t="n"/>
      <c r="B70" s="7" t="n"/>
      <c r="C70" s="8" t="n"/>
      <c r="D70" s="8" t="n"/>
      <c r="E70" s="8" t="n"/>
      <c r="F70" s="8" t="n"/>
      <c r="G70" s="7" t="n"/>
      <c r="H70" s="7" t="n"/>
      <c r="I70" s="8" t="n"/>
      <c r="J70" s="9">
        <f>IF($A70="","",IF($K70=0,"",_xlfn.MAXIFS('例_対応履歴'!$A$5:$A$304,'例_対応履歴'!$B$5:$B$304,$A70)))</f>
        <v/>
      </c>
      <c r="K70" s="10">
        <f>IF($A70="","",COUNTIF('例_対応履歴'!$B$5:$B$304,$A70))</f>
        <v/>
      </c>
      <c r="L70" s="11">
        <f>IF($P70="","",IFERROR(INDEX('例_対応履歴'!$G$5:$G$304,MATCH($P70,'例_対応履歴'!$J$5:$J$304,0))&amp;"",""))</f>
        <v/>
      </c>
      <c r="M70" s="9">
        <f>IF($P70="","",IFERROR(IF(INDEX('例_対応履歴'!$H$5:$H$304,MATCH($P70,'例_対応履歴'!$J$5:$J$304,0))="","",INDEX('例_対応履歴'!$H$5:$H$304,MATCH($P70,'例_対応履歴'!$J$5:$J$304,0))),""))</f>
        <v/>
      </c>
      <c r="N70" s="10">
        <f>IF($A70="","",IF($K70=0,"対応履歴なし",IF($M70="",IF($L70="","次回予定なし","期日未定"),IF($M70&lt;'例_次回アクション'!$B$2,"期日超過 "&amp;('例_次回アクション'!$B$2-$M70)&amp;"日",IF($M70='例_次回アクション'!$B$2,"今日","あと"&amp;($M70-'例_次回アクション'!$B$2)&amp;"日")))))</f>
        <v/>
      </c>
      <c r="O70" s="12">
        <f>IF($P70="","",IF($M70&lt;&gt;"",$M70+ROW()/100000,IF($L70&lt;&gt;"",100000+ROW()/100000,"")))</f>
        <v/>
      </c>
      <c r="P70" s="12">
        <f>IF(OR($A70="",$K70=0),"",_xlfn.MAXIFS('例_対応履歴'!$J$5:$J$304,'例_対応履歴'!$B$5:$B$304,$A70))</f>
        <v/>
      </c>
    </row>
    <row r="71">
      <c r="A71" s="7" t="n"/>
      <c r="B71" s="7" t="n"/>
      <c r="C71" s="8" t="n"/>
      <c r="D71" s="8" t="n"/>
      <c r="E71" s="8" t="n"/>
      <c r="F71" s="8" t="n"/>
      <c r="G71" s="7" t="n"/>
      <c r="H71" s="7" t="n"/>
      <c r="I71" s="8" t="n"/>
      <c r="J71" s="9">
        <f>IF($A71="","",IF($K71=0,"",_xlfn.MAXIFS('例_対応履歴'!$A$5:$A$304,'例_対応履歴'!$B$5:$B$304,$A71)))</f>
        <v/>
      </c>
      <c r="K71" s="10">
        <f>IF($A71="","",COUNTIF('例_対応履歴'!$B$5:$B$304,$A71))</f>
        <v/>
      </c>
      <c r="L71" s="11">
        <f>IF($P71="","",IFERROR(INDEX('例_対応履歴'!$G$5:$G$304,MATCH($P71,'例_対応履歴'!$J$5:$J$304,0))&amp;"",""))</f>
        <v/>
      </c>
      <c r="M71" s="9">
        <f>IF($P71="","",IFERROR(IF(INDEX('例_対応履歴'!$H$5:$H$304,MATCH($P71,'例_対応履歴'!$J$5:$J$304,0))="","",INDEX('例_対応履歴'!$H$5:$H$304,MATCH($P71,'例_対応履歴'!$J$5:$J$304,0))),""))</f>
        <v/>
      </c>
      <c r="N71" s="10">
        <f>IF($A71="","",IF($K71=0,"対応履歴なし",IF($M71="",IF($L71="","次回予定なし","期日未定"),IF($M71&lt;'例_次回アクション'!$B$2,"期日超過 "&amp;('例_次回アクション'!$B$2-$M71)&amp;"日",IF($M71='例_次回アクション'!$B$2,"今日","あと"&amp;($M71-'例_次回アクション'!$B$2)&amp;"日")))))</f>
        <v/>
      </c>
      <c r="O71" s="12">
        <f>IF($P71="","",IF($M71&lt;&gt;"",$M71+ROW()/100000,IF($L71&lt;&gt;"",100000+ROW()/100000,"")))</f>
        <v/>
      </c>
      <c r="P71" s="12">
        <f>IF(OR($A71="",$K71=0),"",_xlfn.MAXIFS('例_対応履歴'!$J$5:$J$304,'例_対応履歴'!$B$5:$B$304,$A71))</f>
        <v/>
      </c>
    </row>
    <row r="72">
      <c r="A72" s="7" t="n"/>
      <c r="B72" s="7" t="n"/>
      <c r="C72" s="8" t="n"/>
      <c r="D72" s="8" t="n"/>
      <c r="E72" s="8" t="n"/>
      <c r="F72" s="8" t="n"/>
      <c r="G72" s="7" t="n"/>
      <c r="H72" s="7" t="n"/>
      <c r="I72" s="8" t="n"/>
      <c r="J72" s="9">
        <f>IF($A72="","",IF($K72=0,"",_xlfn.MAXIFS('例_対応履歴'!$A$5:$A$304,'例_対応履歴'!$B$5:$B$304,$A72)))</f>
        <v/>
      </c>
      <c r="K72" s="10">
        <f>IF($A72="","",COUNTIF('例_対応履歴'!$B$5:$B$304,$A72))</f>
        <v/>
      </c>
      <c r="L72" s="11">
        <f>IF($P72="","",IFERROR(INDEX('例_対応履歴'!$G$5:$G$304,MATCH($P72,'例_対応履歴'!$J$5:$J$304,0))&amp;"",""))</f>
        <v/>
      </c>
      <c r="M72" s="9">
        <f>IF($P72="","",IFERROR(IF(INDEX('例_対応履歴'!$H$5:$H$304,MATCH($P72,'例_対応履歴'!$J$5:$J$304,0))="","",INDEX('例_対応履歴'!$H$5:$H$304,MATCH($P72,'例_対応履歴'!$J$5:$J$304,0))),""))</f>
        <v/>
      </c>
      <c r="N72" s="10">
        <f>IF($A72="","",IF($K72=0,"対応履歴なし",IF($M72="",IF($L72="","次回予定なし","期日未定"),IF($M72&lt;'例_次回アクション'!$B$2,"期日超過 "&amp;('例_次回アクション'!$B$2-$M72)&amp;"日",IF($M72='例_次回アクション'!$B$2,"今日","あと"&amp;($M72-'例_次回アクション'!$B$2)&amp;"日")))))</f>
        <v/>
      </c>
      <c r="O72" s="12">
        <f>IF($P72="","",IF($M72&lt;&gt;"",$M72+ROW()/100000,IF($L72&lt;&gt;"",100000+ROW()/100000,"")))</f>
        <v/>
      </c>
      <c r="P72" s="12">
        <f>IF(OR($A72="",$K72=0),"",_xlfn.MAXIFS('例_対応履歴'!$J$5:$J$304,'例_対応履歴'!$B$5:$B$304,$A72))</f>
        <v/>
      </c>
    </row>
    <row r="73">
      <c r="A73" s="7" t="n"/>
      <c r="B73" s="7" t="n"/>
      <c r="C73" s="8" t="n"/>
      <c r="D73" s="8" t="n"/>
      <c r="E73" s="8" t="n"/>
      <c r="F73" s="8" t="n"/>
      <c r="G73" s="7" t="n"/>
      <c r="H73" s="7" t="n"/>
      <c r="I73" s="8" t="n"/>
      <c r="J73" s="9">
        <f>IF($A73="","",IF($K73=0,"",_xlfn.MAXIFS('例_対応履歴'!$A$5:$A$304,'例_対応履歴'!$B$5:$B$304,$A73)))</f>
        <v/>
      </c>
      <c r="K73" s="10">
        <f>IF($A73="","",COUNTIF('例_対応履歴'!$B$5:$B$304,$A73))</f>
        <v/>
      </c>
      <c r="L73" s="11">
        <f>IF($P73="","",IFERROR(INDEX('例_対応履歴'!$G$5:$G$304,MATCH($P73,'例_対応履歴'!$J$5:$J$304,0))&amp;"",""))</f>
        <v/>
      </c>
      <c r="M73" s="9">
        <f>IF($P73="","",IFERROR(IF(INDEX('例_対応履歴'!$H$5:$H$304,MATCH($P73,'例_対応履歴'!$J$5:$J$304,0))="","",INDEX('例_対応履歴'!$H$5:$H$304,MATCH($P73,'例_対応履歴'!$J$5:$J$304,0))),""))</f>
        <v/>
      </c>
      <c r="N73" s="10">
        <f>IF($A73="","",IF($K73=0,"対応履歴なし",IF($M73="",IF($L73="","次回予定なし","期日未定"),IF($M73&lt;'例_次回アクション'!$B$2,"期日超過 "&amp;('例_次回アクション'!$B$2-$M73)&amp;"日",IF($M73='例_次回アクション'!$B$2,"今日","あと"&amp;($M73-'例_次回アクション'!$B$2)&amp;"日")))))</f>
        <v/>
      </c>
      <c r="O73" s="12">
        <f>IF($P73="","",IF($M73&lt;&gt;"",$M73+ROW()/100000,IF($L73&lt;&gt;"",100000+ROW()/100000,"")))</f>
        <v/>
      </c>
      <c r="P73" s="12">
        <f>IF(OR($A73="",$K73=0),"",_xlfn.MAXIFS('例_対応履歴'!$J$5:$J$304,'例_対応履歴'!$B$5:$B$304,$A73))</f>
        <v/>
      </c>
    </row>
    <row r="74">
      <c r="A74" s="7" t="n"/>
      <c r="B74" s="7" t="n"/>
      <c r="C74" s="8" t="n"/>
      <c r="D74" s="8" t="n"/>
      <c r="E74" s="8" t="n"/>
      <c r="F74" s="8" t="n"/>
      <c r="G74" s="7" t="n"/>
      <c r="H74" s="7" t="n"/>
      <c r="I74" s="8" t="n"/>
      <c r="J74" s="9">
        <f>IF($A74="","",IF($K74=0,"",_xlfn.MAXIFS('例_対応履歴'!$A$5:$A$304,'例_対応履歴'!$B$5:$B$304,$A74)))</f>
        <v/>
      </c>
      <c r="K74" s="10">
        <f>IF($A74="","",COUNTIF('例_対応履歴'!$B$5:$B$304,$A74))</f>
        <v/>
      </c>
      <c r="L74" s="11">
        <f>IF($P74="","",IFERROR(INDEX('例_対応履歴'!$G$5:$G$304,MATCH($P74,'例_対応履歴'!$J$5:$J$304,0))&amp;"",""))</f>
        <v/>
      </c>
      <c r="M74" s="9">
        <f>IF($P74="","",IFERROR(IF(INDEX('例_対応履歴'!$H$5:$H$304,MATCH($P74,'例_対応履歴'!$J$5:$J$304,0))="","",INDEX('例_対応履歴'!$H$5:$H$304,MATCH($P74,'例_対応履歴'!$J$5:$J$304,0))),""))</f>
        <v/>
      </c>
      <c r="N74" s="10">
        <f>IF($A74="","",IF($K74=0,"対応履歴なし",IF($M74="",IF($L74="","次回予定なし","期日未定"),IF($M74&lt;'例_次回アクション'!$B$2,"期日超過 "&amp;('例_次回アクション'!$B$2-$M74)&amp;"日",IF($M74='例_次回アクション'!$B$2,"今日","あと"&amp;($M74-'例_次回アクション'!$B$2)&amp;"日")))))</f>
        <v/>
      </c>
      <c r="O74" s="12">
        <f>IF($P74="","",IF($M74&lt;&gt;"",$M74+ROW()/100000,IF($L74&lt;&gt;"",100000+ROW()/100000,"")))</f>
        <v/>
      </c>
      <c r="P74" s="12">
        <f>IF(OR($A74="",$K74=0),"",_xlfn.MAXIFS('例_対応履歴'!$J$5:$J$304,'例_対応履歴'!$B$5:$B$304,$A74))</f>
        <v/>
      </c>
    </row>
    <row r="75">
      <c r="A75" s="7" t="n"/>
      <c r="B75" s="7" t="n"/>
      <c r="C75" s="8" t="n"/>
      <c r="D75" s="8" t="n"/>
      <c r="E75" s="8" t="n"/>
      <c r="F75" s="8" t="n"/>
      <c r="G75" s="7" t="n"/>
      <c r="H75" s="7" t="n"/>
      <c r="I75" s="8" t="n"/>
      <c r="J75" s="9">
        <f>IF($A75="","",IF($K75=0,"",_xlfn.MAXIFS('例_対応履歴'!$A$5:$A$304,'例_対応履歴'!$B$5:$B$304,$A75)))</f>
        <v/>
      </c>
      <c r="K75" s="10">
        <f>IF($A75="","",COUNTIF('例_対応履歴'!$B$5:$B$304,$A75))</f>
        <v/>
      </c>
      <c r="L75" s="11">
        <f>IF($P75="","",IFERROR(INDEX('例_対応履歴'!$G$5:$G$304,MATCH($P75,'例_対応履歴'!$J$5:$J$304,0))&amp;"",""))</f>
        <v/>
      </c>
      <c r="M75" s="9">
        <f>IF($P75="","",IFERROR(IF(INDEX('例_対応履歴'!$H$5:$H$304,MATCH($P75,'例_対応履歴'!$J$5:$J$304,0))="","",INDEX('例_対応履歴'!$H$5:$H$304,MATCH($P75,'例_対応履歴'!$J$5:$J$304,0))),""))</f>
        <v/>
      </c>
      <c r="N75" s="10">
        <f>IF($A75="","",IF($K75=0,"対応履歴なし",IF($M75="",IF($L75="","次回予定なし","期日未定"),IF($M75&lt;'例_次回アクション'!$B$2,"期日超過 "&amp;('例_次回アクション'!$B$2-$M75)&amp;"日",IF($M75='例_次回アクション'!$B$2,"今日","あと"&amp;($M75-'例_次回アクション'!$B$2)&amp;"日")))))</f>
        <v/>
      </c>
      <c r="O75" s="12">
        <f>IF($P75="","",IF($M75&lt;&gt;"",$M75+ROW()/100000,IF($L75&lt;&gt;"",100000+ROW()/100000,"")))</f>
        <v/>
      </c>
      <c r="P75" s="12">
        <f>IF(OR($A75="",$K75=0),"",_xlfn.MAXIFS('例_対応履歴'!$J$5:$J$304,'例_対応履歴'!$B$5:$B$304,$A75))</f>
        <v/>
      </c>
    </row>
    <row r="76">
      <c r="A76" s="7" t="n"/>
      <c r="B76" s="7" t="n"/>
      <c r="C76" s="8" t="n"/>
      <c r="D76" s="8" t="n"/>
      <c r="E76" s="8" t="n"/>
      <c r="F76" s="8" t="n"/>
      <c r="G76" s="7" t="n"/>
      <c r="H76" s="7" t="n"/>
      <c r="I76" s="8" t="n"/>
      <c r="J76" s="9">
        <f>IF($A76="","",IF($K76=0,"",_xlfn.MAXIFS('例_対応履歴'!$A$5:$A$304,'例_対応履歴'!$B$5:$B$304,$A76)))</f>
        <v/>
      </c>
      <c r="K76" s="10">
        <f>IF($A76="","",COUNTIF('例_対応履歴'!$B$5:$B$304,$A76))</f>
        <v/>
      </c>
      <c r="L76" s="11">
        <f>IF($P76="","",IFERROR(INDEX('例_対応履歴'!$G$5:$G$304,MATCH($P76,'例_対応履歴'!$J$5:$J$304,0))&amp;"",""))</f>
        <v/>
      </c>
      <c r="M76" s="9">
        <f>IF($P76="","",IFERROR(IF(INDEX('例_対応履歴'!$H$5:$H$304,MATCH($P76,'例_対応履歴'!$J$5:$J$304,0))="","",INDEX('例_対応履歴'!$H$5:$H$304,MATCH($P76,'例_対応履歴'!$J$5:$J$304,0))),""))</f>
        <v/>
      </c>
      <c r="N76" s="10">
        <f>IF($A76="","",IF($K76=0,"対応履歴なし",IF($M76="",IF($L76="","次回予定なし","期日未定"),IF($M76&lt;'例_次回アクション'!$B$2,"期日超過 "&amp;('例_次回アクション'!$B$2-$M76)&amp;"日",IF($M76='例_次回アクション'!$B$2,"今日","あと"&amp;($M76-'例_次回アクション'!$B$2)&amp;"日")))))</f>
        <v/>
      </c>
      <c r="O76" s="12">
        <f>IF($P76="","",IF($M76&lt;&gt;"",$M76+ROW()/100000,IF($L76&lt;&gt;"",100000+ROW()/100000,"")))</f>
        <v/>
      </c>
      <c r="P76" s="12">
        <f>IF(OR($A76="",$K76=0),"",_xlfn.MAXIFS('例_対応履歴'!$J$5:$J$304,'例_対応履歴'!$B$5:$B$304,$A76))</f>
        <v/>
      </c>
    </row>
    <row r="77">
      <c r="A77" s="7" t="n"/>
      <c r="B77" s="7" t="n"/>
      <c r="C77" s="8" t="n"/>
      <c r="D77" s="8" t="n"/>
      <c r="E77" s="8" t="n"/>
      <c r="F77" s="8" t="n"/>
      <c r="G77" s="7" t="n"/>
      <c r="H77" s="7" t="n"/>
      <c r="I77" s="8" t="n"/>
      <c r="J77" s="9">
        <f>IF($A77="","",IF($K77=0,"",_xlfn.MAXIFS('例_対応履歴'!$A$5:$A$304,'例_対応履歴'!$B$5:$B$304,$A77)))</f>
        <v/>
      </c>
      <c r="K77" s="10">
        <f>IF($A77="","",COUNTIF('例_対応履歴'!$B$5:$B$304,$A77))</f>
        <v/>
      </c>
      <c r="L77" s="11">
        <f>IF($P77="","",IFERROR(INDEX('例_対応履歴'!$G$5:$G$304,MATCH($P77,'例_対応履歴'!$J$5:$J$304,0))&amp;"",""))</f>
        <v/>
      </c>
      <c r="M77" s="9">
        <f>IF($P77="","",IFERROR(IF(INDEX('例_対応履歴'!$H$5:$H$304,MATCH($P77,'例_対応履歴'!$J$5:$J$304,0))="","",INDEX('例_対応履歴'!$H$5:$H$304,MATCH($P77,'例_対応履歴'!$J$5:$J$304,0))),""))</f>
        <v/>
      </c>
      <c r="N77" s="10">
        <f>IF($A77="","",IF($K77=0,"対応履歴なし",IF($M77="",IF($L77="","次回予定なし","期日未定"),IF($M77&lt;'例_次回アクション'!$B$2,"期日超過 "&amp;('例_次回アクション'!$B$2-$M77)&amp;"日",IF($M77='例_次回アクション'!$B$2,"今日","あと"&amp;($M77-'例_次回アクション'!$B$2)&amp;"日")))))</f>
        <v/>
      </c>
      <c r="O77" s="12">
        <f>IF($P77="","",IF($M77&lt;&gt;"",$M77+ROW()/100000,IF($L77&lt;&gt;"",100000+ROW()/100000,"")))</f>
        <v/>
      </c>
      <c r="P77" s="12">
        <f>IF(OR($A77="",$K77=0),"",_xlfn.MAXIFS('例_対応履歴'!$J$5:$J$304,'例_対応履歴'!$B$5:$B$304,$A77))</f>
        <v/>
      </c>
    </row>
    <row r="78">
      <c r="A78" s="7" t="n"/>
      <c r="B78" s="7" t="n"/>
      <c r="C78" s="8" t="n"/>
      <c r="D78" s="8" t="n"/>
      <c r="E78" s="8" t="n"/>
      <c r="F78" s="8" t="n"/>
      <c r="G78" s="7" t="n"/>
      <c r="H78" s="7" t="n"/>
      <c r="I78" s="8" t="n"/>
      <c r="J78" s="9">
        <f>IF($A78="","",IF($K78=0,"",_xlfn.MAXIFS('例_対応履歴'!$A$5:$A$304,'例_対応履歴'!$B$5:$B$304,$A78)))</f>
        <v/>
      </c>
      <c r="K78" s="10">
        <f>IF($A78="","",COUNTIF('例_対応履歴'!$B$5:$B$304,$A78))</f>
        <v/>
      </c>
      <c r="L78" s="11">
        <f>IF($P78="","",IFERROR(INDEX('例_対応履歴'!$G$5:$G$304,MATCH($P78,'例_対応履歴'!$J$5:$J$304,0))&amp;"",""))</f>
        <v/>
      </c>
      <c r="M78" s="9">
        <f>IF($P78="","",IFERROR(IF(INDEX('例_対応履歴'!$H$5:$H$304,MATCH($P78,'例_対応履歴'!$J$5:$J$304,0))="","",INDEX('例_対応履歴'!$H$5:$H$304,MATCH($P78,'例_対応履歴'!$J$5:$J$304,0))),""))</f>
        <v/>
      </c>
      <c r="N78" s="10">
        <f>IF($A78="","",IF($K78=0,"対応履歴なし",IF($M78="",IF($L78="","次回予定なし","期日未定"),IF($M78&lt;'例_次回アクション'!$B$2,"期日超過 "&amp;('例_次回アクション'!$B$2-$M78)&amp;"日",IF($M78='例_次回アクション'!$B$2,"今日","あと"&amp;($M78-'例_次回アクション'!$B$2)&amp;"日")))))</f>
        <v/>
      </c>
      <c r="O78" s="12">
        <f>IF($P78="","",IF($M78&lt;&gt;"",$M78+ROW()/100000,IF($L78&lt;&gt;"",100000+ROW()/100000,"")))</f>
        <v/>
      </c>
      <c r="P78" s="12">
        <f>IF(OR($A78="",$K78=0),"",_xlfn.MAXIFS('例_対応履歴'!$J$5:$J$304,'例_対応履歴'!$B$5:$B$304,$A78))</f>
        <v/>
      </c>
    </row>
    <row r="79">
      <c r="A79" s="7" t="n"/>
      <c r="B79" s="7" t="n"/>
      <c r="C79" s="8" t="n"/>
      <c r="D79" s="8" t="n"/>
      <c r="E79" s="8" t="n"/>
      <c r="F79" s="8" t="n"/>
      <c r="G79" s="7" t="n"/>
      <c r="H79" s="7" t="n"/>
      <c r="I79" s="8" t="n"/>
      <c r="J79" s="9">
        <f>IF($A79="","",IF($K79=0,"",_xlfn.MAXIFS('例_対応履歴'!$A$5:$A$304,'例_対応履歴'!$B$5:$B$304,$A79)))</f>
        <v/>
      </c>
      <c r="K79" s="10">
        <f>IF($A79="","",COUNTIF('例_対応履歴'!$B$5:$B$304,$A79))</f>
        <v/>
      </c>
      <c r="L79" s="11">
        <f>IF($P79="","",IFERROR(INDEX('例_対応履歴'!$G$5:$G$304,MATCH($P79,'例_対応履歴'!$J$5:$J$304,0))&amp;"",""))</f>
        <v/>
      </c>
      <c r="M79" s="9">
        <f>IF($P79="","",IFERROR(IF(INDEX('例_対応履歴'!$H$5:$H$304,MATCH($P79,'例_対応履歴'!$J$5:$J$304,0))="","",INDEX('例_対応履歴'!$H$5:$H$304,MATCH($P79,'例_対応履歴'!$J$5:$J$304,0))),""))</f>
        <v/>
      </c>
      <c r="N79" s="10">
        <f>IF($A79="","",IF($K79=0,"対応履歴なし",IF($M79="",IF($L79="","次回予定なし","期日未定"),IF($M79&lt;'例_次回アクション'!$B$2,"期日超過 "&amp;('例_次回アクション'!$B$2-$M79)&amp;"日",IF($M79='例_次回アクション'!$B$2,"今日","あと"&amp;($M79-'例_次回アクション'!$B$2)&amp;"日")))))</f>
        <v/>
      </c>
      <c r="O79" s="12">
        <f>IF($P79="","",IF($M79&lt;&gt;"",$M79+ROW()/100000,IF($L79&lt;&gt;"",100000+ROW()/100000,"")))</f>
        <v/>
      </c>
      <c r="P79" s="12">
        <f>IF(OR($A79="",$K79=0),"",_xlfn.MAXIFS('例_対応履歴'!$J$5:$J$304,'例_対応履歴'!$B$5:$B$304,$A79))</f>
        <v/>
      </c>
    </row>
    <row r="80">
      <c r="A80" s="7" t="n"/>
      <c r="B80" s="7" t="n"/>
      <c r="C80" s="8" t="n"/>
      <c r="D80" s="8" t="n"/>
      <c r="E80" s="8" t="n"/>
      <c r="F80" s="8" t="n"/>
      <c r="G80" s="7" t="n"/>
      <c r="H80" s="7" t="n"/>
      <c r="I80" s="8" t="n"/>
      <c r="J80" s="9">
        <f>IF($A80="","",IF($K80=0,"",_xlfn.MAXIFS('例_対応履歴'!$A$5:$A$304,'例_対応履歴'!$B$5:$B$304,$A80)))</f>
        <v/>
      </c>
      <c r="K80" s="10">
        <f>IF($A80="","",COUNTIF('例_対応履歴'!$B$5:$B$304,$A80))</f>
        <v/>
      </c>
      <c r="L80" s="11">
        <f>IF($P80="","",IFERROR(INDEX('例_対応履歴'!$G$5:$G$304,MATCH($P80,'例_対応履歴'!$J$5:$J$304,0))&amp;"",""))</f>
        <v/>
      </c>
      <c r="M80" s="9">
        <f>IF($P80="","",IFERROR(IF(INDEX('例_対応履歴'!$H$5:$H$304,MATCH($P80,'例_対応履歴'!$J$5:$J$304,0))="","",INDEX('例_対応履歴'!$H$5:$H$304,MATCH($P80,'例_対応履歴'!$J$5:$J$304,0))),""))</f>
        <v/>
      </c>
      <c r="N80" s="10">
        <f>IF($A80="","",IF($K80=0,"対応履歴なし",IF($M80="",IF($L80="","次回予定なし","期日未定"),IF($M80&lt;'例_次回アクション'!$B$2,"期日超過 "&amp;('例_次回アクション'!$B$2-$M80)&amp;"日",IF($M80='例_次回アクション'!$B$2,"今日","あと"&amp;($M80-'例_次回アクション'!$B$2)&amp;"日")))))</f>
        <v/>
      </c>
      <c r="O80" s="12">
        <f>IF($P80="","",IF($M80&lt;&gt;"",$M80+ROW()/100000,IF($L80&lt;&gt;"",100000+ROW()/100000,"")))</f>
        <v/>
      </c>
      <c r="P80" s="12">
        <f>IF(OR($A80="",$K80=0),"",_xlfn.MAXIFS('例_対応履歴'!$J$5:$J$304,'例_対応履歴'!$B$5:$B$304,$A80))</f>
        <v/>
      </c>
    </row>
    <row r="81">
      <c r="A81" s="7" t="n"/>
      <c r="B81" s="7" t="n"/>
      <c r="C81" s="8" t="n"/>
      <c r="D81" s="8" t="n"/>
      <c r="E81" s="8" t="n"/>
      <c r="F81" s="8" t="n"/>
      <c r="G81" s="7" t="n"/>
      <c r="H81" s="7" t="n"/>
      <c r="I81" s="8" t="n"/>
      <c r="J81" s="9">
        <f>IF($A81="","",IF($K81=0,"",_xlfn.MAXIFS('例_対応履歴'!$A$5:$A$304,'例_対応履歴'!$B$5:$B$304,$A81)))</f>
        <v/>
      </c>
      <c r="K81" s="10">
        <f>IF($A81="","",COUNTIF('例_対応履歴'!$B$5:$B$304,$A81))</f>
        <v/>
      </c>
      <c r="L81" s="11">
        <f>IF($P81="","",IFERROR(INDEX('例_対応履歴'!$G$5:$G$304,MATCH($P81,'例_対応履歴'!$J$5:$J$304,0))&amp;"",""))</f>
        <v/>
      </c>
      <c r="M81" s="9">
        <f>IF($P81="","",IFERROR(IF(INDEX('例_対応履歴'!$H$5:$H$304,MATCH($P81,'例_対応履歴'!$J$5:$J$304,0))="","",INDEX('例_対応履歴'!$H$5:$H$304,MATCH($P81,'例_対応履歴'!$J$5:$J$304,0))),""))</f>
        <v/>
      </c>
      <c r="N81" s="10">
        <f>IF($A81="","",IF($K81=0,"対応履歴なし",IF($M81="",IF($L81="","次回予定なし","期日未定"),IF($M81&lt;'例_次回アクション'!$B$2,"期日超過 "&amp;('例_次回アクション'!$B$2-$M81)&amp;"日",IF($M81='例_次回アクション'!$B$2,"今日","あと"&amp;($M81-'例_次回アクション'!$B$2)&amp;"日")))))</f>
        <v/>
      </c>
      <c r="O81" s="12">
        <f>IF($P81="","",IF($M81&lt;&gt;"",$M81+ROW()/100000,IF($L81&lt;&gt;"",100000+ROW()/100000,"")))</f>
        <v/>
      </c>
      <c r="P81" s="12">
        <f>IF(OR($A81="",$K81=0),"",_xlfn.MAXIFS('例_対応履歴'!$J$5:$J$304,'例_対応履歴'!$B$5:$B$304,$A81))</f>
        <v/>
      </c>
    </row>
    <row r="82">
      <c r="A82" s="7" t="n"/>
      <c r="B82" s="7" t="n"/>
      <c r="C82" s="8" t="n"/>
      <c r="D82" s="8" t="n"/>
      <c r="E82" s="8" t="n"/>
      <c r="F82" s="8" t="n"/>
      <c r="G82" s="7" t="n"/>
      <c r="H82" s="7" t="n"/>
      <c r="I82" s="8" t="n"/>
      <c r="J82" s="9">
        <f>IF($A82="","",IF($K82=0,"",_xlfn.MAXIFS('例_対応履歴'!$A$5:$A$304,'例_対応履歴'!$B$5:$B$304,$A82)))</f>
        <v/>
      </c>
      <c r="K82" s="10">
        <f>IF($A82="","",COUNTIF('例_対応履歴'!$B$5:$B$304,$A82))</f>
        <v/>
      </c>
      <c r="L82" s="11">
        <f>IF($P82="","",IFERROR(INDEX('例_対応履歴'!$G$5:$G$304,MATCH($P82,'例_対応履歴'!$J$5:$J$304,0))&amp;"",""))</f>
        <v/>
      </c>
      <c r="M82" s="9">
        <f>IF($P82="","",IFERROR(IF(INDEX('例_対応履歴'!$H$5:$H$304,MATCH($P82,'例_対応履歴'!$J$5:$J$304,0))="","",INDEX('例_対応履歴'!$H$5:$H$304,MATCH($P82,'例_対応履歴'!$J$5:$J$304,0))),""))</f>
        <v/>
      </c>
      <c r="N82" s="10">
        <f>IF($A82="","",IF($K82=0,"対応履歴なし",IF($M82="",IF($L82="","次回予定なし","期日未定"),IF($M82&lt;'例_次回アクション'!$B$2,"期日超過 "&amp;('例_次回アクション'!$B$2-$M82)&amp;"日",IF($M82='例_次回アクション'!$B$2,"今日","あと"&amp;($M82-'例_次回アクション'!$B$2)&amp;"日")))))</f>
        <v/>
      </c>
      <c r="O82" s="12">
        <f>IF($P82="","",IF($M82&lt;&gt;"",$M82+ROW()/100000,IF($L82&lt;&gt;"",100000+ROW()/100000,"")))</f>
        <v/>
      </c>
      <c r="P82" s="12">
        <f>IF(OR($A82="",$K82=0),"",_xlfn.MAXIFS('例_対応履歴'!$J$5:$J$304,'例_対応履歴'!$B$5:$B$304,$A82))</f>
        <v/>
      </c>
    </row>
    <row r="83">
      <c r="A83" s="7" t="n"/>
      <c r="B83" s="7" t="n"/>
      <c r="C83" s="8" t="n"/>
      <c r="D83" s="8" t="n"/>
      <c r="E83" s="8" t="n"/>
      <c r="F83" s="8" t="n"/>
      <c r="G83" s="7" t="n"/>
      <c r="H83" s="7" t="n"/>
      <c r="I83" s="8" t="n"/>
      <c r="J83" s="9">
        <f>IF($A83="","",IF($K83=0,"",_xlfn.MAXIFS('例_対応履歴'!$A$5:$A$304,'例_対応履歴'!$B$5:$B$304,$A83)))</f>
        <v/>
      </c>
      <c r="K83" s="10">
        <f>IF($A83="","",COUNTIF('例_対応履歴'!$B$5:$B$304,$A83))</f>
        <v/>
      </c>
      <c r="L83" s="11">
        <f>IF($P83="","",IFERROR(INDEX('例_対応履歴'!$G$5:$G$304,MATCH($P83,'例_対応履歴'!$J$5:$J$304,0))&amp;"",""))</f>
        <v/>
      </c>
      <c r="M83" s="9">
        <f>IF($P83="","",IFERROR(IF(INDEX('例_対応履歴'!$H$5:$H$304,MATCH($P83,'例_対応履歴'!$J$5:$J$304,0))="","",INDEX('例_対応履歴'!$H$5:$H$304,MATCH($P83,'例_対応履歴'!$J$5:$J$304,0))),""))</f>
        <v/>
      </c>
      <c r="N83" s="10">
        <f>IF($A83="","",IF($K83=0,"対応履歴なし",IF($M83="",IF($L83="","次回予定なし","期日未定"),IF($M83&lt;'例_次回アクション'!$B$2,"期日超過 "&amp;('例_次回アクション'!$B$2-$M83)&amp;"日",IF($M83='例_次回アクション'!$B$2,"今日","あと"&amp;($M83-'例_次回アクション'!$B$2)&amp;"日")))))</f>
        <v/>
      </c>
      <c r="O83" s="12">
        <f>IF($P83="","",IF($M83&lt;&gt;"",$M83+ROW()/100000,IF($L83&lt;&gt;"",100000+ROW()/100000,"")))</f>
        <v/>
      </c>
      <c r="P83" s="12">
        <f>IF(OR($A83="",$K83=0),"",_xlfn.MAXIFS('例_対応履歴'!$J$5:$J$304,'例_対応履歴'!$B$5:$B$304,$A83))</f>
        <v/>
      </c>
    </row>
    <row r="84">
      <c r="A84" s="7" t="n"/>
      <c r="B84" s="7" t="n"/>
      <c r="C84" s="8" t="n"/>
      <c r="D84" s="8" t="n"/>
      <c r="E84" s="8" t="n"/>
      <c r="F84" s="8" t="n"/>
      <c r="G84" s="7" t="n"/>
      <c r="H84" s="7" t="n"/>
      <c r="I84" s="8" t="n"/>
      <c r="J84" s="9">
        <f>IF($A84="","",IF($K84=0,"",_xlfn.MAXIFS('例_対応履歴'!$A$5:$A$304,'例_対応履歴'!$B$5:$B$304,$A84)))</f>
        <v/>
      </c>
      <c r="K84" s="10">
        <f>IF($A84="","",COUNTIF('例_対応履歴'!$B$5:$B$304,$A84))</f>
        <v/>
      </c>
      <c r="L84" s="11">
        <f>IF($P84="","",IFERROR(INDEX('例_対応履歴'!$G$5:$G$304,MATCH($P84,'例_対応履歴'!$J$5:$J$304,0))&amp;"",""))</f>
        <v/>
      </c>
      <c r="M84" s="9">
        <f>IF($P84="","",IFERROR(IF(INDEX('例_対応履歴'!$H$5:$H$304,MATCH($P84,'例_対応履歴'!$J$5:$J$304,0))="","",INDEX('例_対応履歴'!$H$5:$H$304,MATCH($P84,'例_対応履歴'!$J$5:$J$304,0))),""))</f>
        <v/>
      </c>
      <c r="N84" s="10">
        <f>IF($A84="","",IF($K84=0,"対応履歴なし",IF($M84="",IF($L84="","次回予定なし","期日未定"),IF($M84&lt;'例_次回アクション'!$B$2,"期日超過 "&amp;('例_次回アクション'!$B$2-$M84)&amp;"日",IF($M84='例_次回アクション'!$B$2,"今日","あと"&amp;($M84-'例_次回アクション'!$B$2)&amp;"日")))))</f>
        <v/>
      </c>
      <c r="O84" s="12">
        <f>IF($P84="","",IF($M84&lt;&gt;"",$M84+ROW()/100000,IF($L84&lt;&gt;"",100000+ROW()/100000,"")))</f>
        <v/>
      </c>
      <c r="P84" s="12">
        <f>IF(OR($A84="",$K84=0),"",_xlfn.MAXIFS('例_対応履歴'!$J$5:$J$304,'例_対応履歴'!$B$5:$B$304,$A84))</f>
        <v/>
      </c>
    </row>
    <row r="85">
      <c r="A85" s="7" t="n"/>
      <c r="B85" s="7" t="n"/>
      <c r="C85" s="8" t="n"/>
      <c r="D85" s="8" t="n"/>
      <c r="E85" s="8" t="n"/>
      <c r="F85" s="8" t="n"/>
      <c r="G85" s="7" t="n"/>
      <c r="H85" s="7" t="n"/>
      <c r="I85" s="8" t="n"/>
      <c r="J85" s="9">
        <f>IF($A85="","",IF($K85=0,"",_xlfn.MAXIFS('例_対応履歴'!$A$5:$A$304,'例_対応履歴'!$B$5:$B$304,$A85)))</f>
        <v/>
      </c>
      <c r="K85" s="10">
        <f>IF($A85="","",COUNTIF('例_対応履歴'!$B$5:$B$304,$A85))</f>
        <v/>
      </c>
      <c r="L85" s="11">
        <f>IF($P85="","",IFERROR(INDEX('例_対応履歴'!$G$5:$G$304,MATCH($P85,'例_対応履歴'!$J$5:$J$304,0))&amp;"",""))</f>
        <v/>
      </c>
      <c r="M85" s="9">
        <f>IF($P85="","",IFERROR(IF(INDEX('例_対応履歴'!$H$5:$H$304,MATCH($P85,'例_対応履歴'!$J$5:$J$304,0))="","",INDEX('例_対応履歴'!$H$5:$H$304,MATCH($P85,'例_対応履歴'!$J$5:$J$304,0))),""))</f>
        <v/>
      </c>
      <c r="N85" s="10">
        <f>IF($A85="","",IF($K85=0,"対応履歴なし",IF($M85="",IF($L85="","次回予定なし","期日未定"),IF($M85&lt;'例_次回アクション'!$B$2,"期日超過 "&amp;('例_次回アクション'!$B$2-$M85)&amp;"日",IF($M85='例_次回アクション'!$B$2,"今日","あと"&amp;($M85-'例_次回アクション'!$B$2)&amp;"日")))))</f>
        <v/>
      </c>
      <c r="O85" s="12">
        <f>IF($P85="","",IF($M85&lt;&gt;"",$M85+ROW()/100000,IF($L85&lt;&gt;"",100000+ROW()/100000,"")))</f>
        <v/>
      </c>
      <c r="P85" s="12">
        <f>IF(OR($A85="",$K85=0),"",_xlfn.MAXIFS('例_対応履歴'!$J$5:$J$304,'例_対応履歴'!$B$5:$B$304,$A85))</f>
        <v/>
      </c>
    </row>
    <row r="86">
      <c r="A86" s="7" t="n"/>
      <c r="B86" s="7" t="n"/>
      <c r="C86" s="8" t="n"/>
      <c r="D86" s="8" t="n"/>
      <c r="E86" s="8" t="n"/>
      <c r="F86" s="8" t="n"/>
      <c r="G86" s="7" t="n"/>
      <c r="H86" s="7" t="n"/>
      <c r="I86" s="8" t="n"/>
      <c r="J86" s="9">
        <f>IF($A86="","",IF($K86=0,"",_xlfn.MAXIFS('例_対応履歴'!$A$5:$A$304,'例_対応履歴'!$B$5:$B$304,$A86)))</f>
        <v/>
      </c>
      <c r="K86" s="10">
        <f>IF($A86="","",COUNTIF('例_対応履歴'!$B$5:$B$304,$A86))</f>
        <v/>
      </c>
      <c r="L86" s="11">
        <f>IF($P86="","",IFERROR(INDEX('例_対応履歴'!$G$5:$G$304,MATCH($P86,'例_対応履歴'!$J$5:$J$304,0))&amp;"",""))</f>
        <v/>
      </c>
      <c r="M86" s="9">
        <f>IF($P86="","",IFERROR(IF(INDEX('例_対応履歴'!$H$5:$H$304,MATCH($P86,'例_対応履歴'!$J$5:$J$304,0))="","",INDEX('例_対応履歴'!$H$5:$H$304,MATCH($P86,'例_対応履歴'!$J$5:$J$304,0))),""))</f>
        <v/>
      </c>
      <c r="N86" s="10">
        <f>IF($A86="","",IF($K86=0,"対応履歴なし",IF($M86="",IF($L86="","次回予定なし","期日未定"),IF($M86&lt;'例_次回アクション'!$B$2,"期日超過 "&amp;('例_次回アクション'!$B$2-$M86)&amp;"日",IF($M86='例_次回アクション'!$B$2,"今日","あと"&amp;($M86-'例_次回アクション'!$B$2)&amp;"日")))))</f>
        <v/>
      </c>
      <c r="O86" s="12">
        <f>IF($P86="","",IF($M86&lt;&gt;"",$M86+ROW()/100000,IF($L86&lt;&gt;"",100000+ROW()/100000,"")))</f>
        <v/>
      </c>
      <c r="P86" s="12">
        <f>IF(OR($A86="",$K86=0),"",_xlfn.MAXIFS('例_対応履歴'!$J$5:$J$304,'例_対応履歴'!$B$5:$B$304,$A86))</f>
        <v/>
      </c>
    </row>
    <row r="87">
      <c r="A87" s="7" t="n"/>
      <c r="B87" s="7" t="n"/>
      <c r="C87" s="8" t="n"/>
      <c r="D87" s="8" t="n"/>
      <c r="E87" s="8" t="n"/>
      <c r="F87" s="8" t="n"/>
      <c r="G87" s="7" t="n"/>
      <c r="H87" s="7" t="n"/>
      <c r="I87" s="8" t="n"/>
      <c r="J87" s="9">
        <f>IF($A87="","",IF($K87=0,"",_xlfn.MAXIFS('例_対応履歴'!$A$5:$A$304,'例_対応履歴'!$B$5:$B$304,$A87)))</f>
        <v/>
      </c>
      <c r="K87" s="10">
        <f>IF($A87="","",COUNTIF('例_対応履歴'!$B$5:$B$304,$A87))</f>
        <v/>
      </c>
      <c r="L87" s="11">
        <f>IF($P87="","",IFERROR(INDEX('例_対応履歴'!$G$5:$G$304,MATCH($P87,'例_対応履歴'!$J$5:$J$304,0))&amp;"",""))</f>
        <v/>
      </c>
      <c r="M87" s="9">
        <f>IF($P87="","",IFERROR(IF(INDEX('例_対応履歴'!$H$5:$H$304,MATCH($P87,'例_対応履歴'!$J$5:$J$304,0))="","",INDEX('例_対応履歴'!$H$5:$H$304,MATCH($P87,'例_対応履歴'!$J$5:$J$304,0))),""))</f>
        <v/>
      </c>
      <c r="N87" s="10">
        <f>IF($A87="","",IF($K87=0,"対応履歴なし",IF($M87="",IF($L87="","次回予定なし","期日未定"),IF($M87&lt;'例_次回アクション'!$B$2,"期日超過 "&amp;('例_次回アクション'!$B$2-$M87)&amp;"日",IF($M87='例_次回アクション'!$B$2,"今日","あと"&amp;($M87-'例_次回アクション'!$B$2)&amp;"日")))))</f>
        <v/>
      </c>
      <c r="O87" s="12">
        <f>IF($P87="","",IF($M87&lt;&gt;"",$M87+ROW()/100000,IF($L87&lt;&gt;"",100000+ROW()/100000,"")))</f>
        <v/>
      </c>
      <c r="P87" s="12">
        <f>IF(OR($A87="",$K87=0),"",_xlfn.MAXIFS('例_対応履歴'!$J$5:$J$304,'例_対応履歴'!$B$5:$B$304,$A87))</f>
        <v/>
      </c>
    </row>
    <row r="88">
      <c r="A88" s="7" t="n"/>
      <c r="B88" s="7" t="n"/>
      <c r="C88" s="8" t="n"/>
      <c r="D88" s="8" t="n"/>
      <c r="E88" s="8" t="n"/>
      <c r="F88" s="8" t="n"/>
      <c r="G88" s="7" t="n"/>
      <c r="H88" s="7" t="n"/>
      <c r="I88" s="8" t="n"/>
      <c r="J88" s="9">
        <f>IF($A88="","",IF($K88=0,"",_xlfn.MAXIFS('例_対応履歴'!$A$5:$A$304,'例_対応履歴'!$B$5:$B$304,$A88)))</f>
        <v/>
      </c>
      <c r="K88" s="10">
        <f>IF($A88="","",COUNTIF('例_対応履歴'!$B$5:$B$304,$A88))</f>
        <v/>
      </c>
      <c r="L88" s="11">
        <f>IF($P88="","",IFERROR(INDEX('例_対応履歴'!$G$5:$G$304,MATCH($P88,'例_対応履歴'!$J$5:$J$304,0))&amp;"",""))</f>
        <v/>
      </c>
      <c r="M88" s="9">
        <f>IF($P88="","",IFERROR(IF(INDEX('例_対応履歴'!$H$5:$H$304,MATCH($P88,'例_対応履歴'!$J$5:$J$304,0))="","",INDEX('例_対応履歴'!$H$5:$H$304,MATCH($P88,'例_対応履歴'!$J$5:$J$304,0))),""))</f>
        <v/>
      </c>
      <c r="N88" s="10">
        <f>IF($A88="","",IF($K88=0,"対応履歴なし",IF($M88="",IF($L88="","次回予定なし","期日未定"),IF($M88&lt;'例_次回アクション'!$B$2,"期日超過 "&amp;('例_次回アクション'!$B$2-$M88)&amp;"日",IF($M88='例_次回アクション'!$B$2,"今日","あと"&amp;($M88-'例_次回アクション'!$B$2)&amp;"日")))))</f>
        <v/>
      </c>
      <c r="O88" s="12">
        <f>IF($P88="","",IF($M88&lt;&gt;"",$M88+ROW()/100000,IF($L88&lt;&gt;"",100000+ROW()/100000,"")))</f>
        <v/>
      </c>
      <c r="P88" s="12">
        <f>IF(OR($A88="",$K88=0),"",_xlfn.MAXIFS('例_対応履歴'!$J$5:$J$304,'例_対応履歴'!$B$5:$B$304,$A88))</f>
        <v/>
      </c>
    </row>
    <row r="89">
      <c r="A89" s="7" t="n"/>
      <c r="B89" s="7" t="n"/>
      <c r="C89" s="8" t="n"/>
      <c r="D89" s="8" t="n"/>
      <c r="E89" s="8" t="n"/>
      <c r="F89" s="8" t="n"/>
      <c r="G89" s="7" t="n"/>
      <c r="H89" s="7" t="n"/>
      <c r="I89" s="8" t="n"/>
      <c r="J89" s="9">
        <f>IF($A89="","",IF($K89=0,"",_xlfn.MAXIFS('例_対応履歴'!$A$5:$A$304,'例_対応履歴'!$B$5:$B$304,$A89)))</f>
        <v/>
      </c>
      <c r="K89" s="10">
        <f>IF($A89="","",COUNTIF('例_対応履歴'!$B$5:$B$304,$A89))</f>
        <v/>
      </c>
      <c r="L89" s="11">
        <f>IF($P89="","",IFERROR(INDEX('例_対応履歴'!$G$5:$G$304,MATCH($P89,'例_対応履歴'!$J$5:$J$304,0))&amp;"",""))</f>
        <v/>
      </c>
      <c r="M89" s="9">
        <f>IF($P89="","",IFERROR(IF(INDEX('例_対応履歴'!$H$5:$H$304,MATCH($P89,'例_対応履歴'!$J$5:$J$304,0))="","",INDEX('例_対応履歴'!$H$5:$H$304,MATCH($P89,'例_対応履歴'!$J$5:$J$304,0))),""))</f>
        <v/>
      </c>
      <c r="N89" s="10">
        <f>IF($A89="","",IF($K89=0,"対応履歴なし",IF($M89="",IF($L89="","次回予定なし","期日未定"),IF($M89&lt;'例_次回アクション'!$B$2,"期日超過 "&amp;('例_次回アクション'!$B$2-$M89)&amp;"日",IF($M89='例_次回アクション'!$B$2,"今日","あと"&amp;($M89-'例_次回アクション'!$B$2)&amp;"日")))))</f>
        <v/>
      </c>
      <c r="O89" s="12">
        <f>IF($P89="","",IF($M89&lt;&gt;"",$M89+ROW()/100000,IF($L89&lt;&gt;"",100000+ROW()/100000,"")))</f>
        <v/>
      </c>
      <c r="P89" s="12">
        <f>IF(OR($A89="",$K89=0),"",_xlfn.MAXIFS('例_対応履歴'!$J$5:$J$304,'例_対応履歴'!$B$5:$B$304,$A89))</f>
        <v/>
      </c>
    </row>
    <row r="90">
      <c r="A90" s="7" t="n"/>
      <c r="B90" s="7" t="n"/>
      <c r="C90" s="8" t="n"/>
      <c r="D90" s="8" t="n"/>
      <c r="E90" s="8" t="n"/>
      <c r="F90" s="8" t="n"/>
      <c r="G90" s="7" t="n"/>
      <c r="H90" s="7" t="n"/>
      <c r="I90" s="8" t="n"/>
      <c r="J90" s="9">
        <f>IF($A90="","",IF($K90=0,"",_xlfn.MAXIFS('例_対応履歴'!$A$5:$A$304,'例_対応履歴'!$B$5:$B$304,$A90)))</f>
        <v/>
      </c>
      <c r="K90" s="10">
        <f>IF($A90="","",COUNTIF('例_対応履歴'!$B$5:$B$304,$A90))</f>
        <v/>
      </c>
      <c r="L90" s="11">
        <f>IF($P90="","",IFERROR(INDEX('例_対応履歴'!$G$5:$G$304,MATCH($P90,'例_対応履歴'!$J$5:$J$304,0))&amp;"",""))</f>
        <v/>
      </c>
      <c r="M90" s="9">
        <f>IF($P90="","",IFERROR(IF(INDEX('例_対応履歴'!$H$5:$H$304,MATCH($P90,'例_対応履歴'!$J$5:$J$304,0))="","",INDEX('例_対応履歴'!$H$5:$H$304,MATCH($P90,'例_対応履歴'!$J$5:$J$304,0))),""))</f>
        <v/>
      </c>
      <c r="N90" s="10">
        <f>IF($A90="","",IF($K90=0,"対応履歴なし",IF($M90="",IF($L90="","次回予定なし","期日未定"),IF($M90&lt;'例_次回アクション'!$B$2,"期日超過 "&amp;('例_次回アクション'!$B$2-$M90)&amp;"日",IF($M90='例_次回アクション'!$B$2,"今日","あと"&amp;($M90-'例_次回アクション'!$B$2)&amp;"日")))))</f>
        <v/>
      </c>
      <c r="O90" s="12">
        <f>IF($P90="","",IF($M90&lt;&gt;"",$M90+ROW()/100000,IF($L90&lt;&gt;"",100000+ROW()/100000,"")))</f>
        <v/>
      </c>
      <c r="P90" s="12">
        <f>IF(OR($A90="",$K90=0),"",_xlfn.MAXIFS('例_対応履歴'!$J$5:$J$304,'例_対応履歴'!$B$5:$B$304,$A90))</f>
        <v/>
      </c>
    </row>
    <row r="91">
      <c r="A91" s="7" t="n"/>
      <c r="B91" s="7" t="n"/>
      <c r="C91" s="8" t="n"/>
      <c r="D91" s="8" t="n"/>
      <c r="E91" s="8" t="n"/>
      <c r="F91" s="8" t="n"/>
      <c r="G91" s="7" t="n"/>
      <c r="H91" s="7" t="n"/>
      <c r="I91" s="8" t="n"/>
      <c r="J91" s="9">
        <f>IF($A91="","",IF($K91=0,"",_xlfn.MAXIFS('例_対応履歴'!$A$5:$A$304,'例_対応履歴'!$B$5:$B$304,$A91)))</f>
        <v/>
      </c>
      <c r="K91" s="10">
        <f>IF($A91="","",COUNTIF('例_対応履歴'!$B$5:$B$304,$A91))</f>
        <v/>
      </c>
      <c r="L91" s="11">
        <f>IF($P91="","",IFERROR(INDEX('例_対応履歴'!$G$5:$G$304,MATCH($P91,'例_対応履歴'!$J$5:$J$304,0))&amp;"",""))</f>
        <v/>
      </c>
      <c r="M91" s="9">
        <f>IF($P91="","",IFERROR(IF(INDEX('例_対応履歴'!$H$5:$H$304,MATCH($P91,'例_対応履歴'!$J$5:$J$304,0))="","",INDEX('例_対応履歴'!$H$5:$H$304,MATCH($P91,'例_対応履歴'!$J$5:$J$304,0))),""))</f>
        <v/>
      </c>
      <c r="N91" s="10">
        <f>IF($A91="","",IF($K91=0,"対応履歴なし",IF($M91="",IF($L91="","次回予定なし","期日未定"),IF($M91&lt;'例_次回アクション'!$B$2,"期日超過 "&amp;('例_次回アクション'!$B$2-$M91)&amp;"日",IF($M91='例_次回アクション'!$B$2,"今日","あと"&amp;($M91-'例_次回アクション'!$B$2)&amp;"日")))))</f>
        <v/>
      </c>
      <c r="O91" s="12">
        <f>IF($P91="","",IF($M91&lt;&gt;"",$M91+ROW()/100000,IF($L91&lt;&gt;"",100000+ROW()/100000,"")))</f>
        <v/>
      </c>
      <c r="P91" s="12">
        <f>IF(OR($A91="",$K91=0),"",_xlfn.MAXIFS('例_対応履歴'!$J$5:$J$304,'例_対応履歴'!$B$5:$B$304,$A91))</f>
        <v/>
      </c>
    </row>
    <row r="92">
      <c r="A92" s="7" t="n"/>
      <c r="B92" s="7" t="n"/>
      <c r="C92" s="8" t="n"/>
      <c r="D92" s="8" t="n"/>
      <c r="E92" s="8" t="n"/>
      <c r="F92" s="8" t="n"/>
      <c r="G92" s="7" t="n"/>
      <c r="H92" s="7" t="n"/>
      <c r="I92" s="8" t="n"/>
      <c r="J92" s="9">
        <f>IF($A92="","",IF($K92=0,"",_xlfn.MAXIFS('例_対応履歴'!$A$5:$A$304,'例_対応履歴'!$B$5:$B$304,$A92)))</f>
        <v/>
      </c>
      <c r="K92" s="10">
        <f>IF($A92="","",COUNTIF('例_対応履歴'!$B$5:$B$304,$A92))</f>
        <v/>
      </c>
      <c r="L92" s="11">
        <f>IF($P92="","",IFERROR(INDEX('例_対応履歴'!$G$5:$G$304,MATCH($P92,'例_対応履歴'!$J$5:$J$304,0))&amp;"",""))</f>
        <v/>
      </c>
      <c r="M92" s="9">
        <f>IF($P92="","",IFERROR(IF(INDEX('例_対応履歴'!$H$5:$H$304,MATCH($P92,'例_対応履歴'!$J$5:$J$304,0))="","",INDEX('例_対応履歴'!$H$5:$H$304,MATCH($P92,'例_対応履歴'!$J$5:$J$304,0))),""))</f>
        <v/>
      </c>
      <c r="N92" s="10">
        <f>IF($A92="","",IF($K92=0,"対応履歴なし",IF($M92="",IF($L92="","次回予定なし","期日未定"),IF($M92&lt;'例_次回アクション'!$B$2,"期日超過 "&amp;('例_次回アクション'!$B$2-$M92)&amp;"日",IF($M92='例_次回アクション'!$B$2,"今日","あと"&amp;($M92-'例_次回アクション'!$B$2)&amp;"日")))))</f>
        <v/>
      </c>
      <c r="O92" s="12">
        <f>IF($P92="","",IF($M92&lt;&gt;"",$M92+ROW()/100000,IF($L92&lt;&gt;"",100000+ROW()/100000,"")))</f>
        <v/>
      </c>
      <c r="P92" s="12">
        <f>IF(OR($A92="",$K92=0),"",_xlfn.MAXIFS('例_対応履歴'!$J$5:$J$304,'例_対応履歴'!$B$5:$B$304,$A92))</f>
        <v/>
      </c>
    </row>
    <row r="93">
      <c r="A93" s="7" t="n"/>
      <c r="B93" s="7" t="n"/>
      <c r="C93" s="8" t="n"/>
      <c r="D93" s="8" t="n"/>
      <c r="E93" s="8" t="n"/>
      <c r="F93" s="8" t="n"/>
      <c r="G93" s="7" t="n"/>
      <c r="H93" s="7" t="n"/>
      <c r="I93" s="8" t="n"/>
      <c r="J93" s="9">
        <f>IF($A93="","",IF($K93=0,"",_xlfn.MAXIFS('例_対応履歴'!$A$5:$A$304,'例_対応履歴'!$B$5:$B$304,$A93)))</f>
        <v/>
      </c>
      <c r="K93" s="10">
        <f>IF($A93="","",COUNTIF('例_対応履歴'!$B$5:$B$304,$A93))</f>
        <v/>
      </c>
      <c r="L93" s="11">
        <f>IF($P93="","",IFERROR(INDEX('例_対応履歴'!$G$5:$G$304,MATCH($P93,'例_対応履歴'!$J$5:$J$304,0))&amp;"",""))</f>
        <v/>
      </c>
      <c r="M93" s="9">
        <f>IF($P93="","",IFERROR(IF(INDEX('例_対応履歴'!$H$5:$H$304,MATCH($P93,'例_対応履歴'!$J$5:$J$304,0))="","",INDEX('例_対応履歴'!$H$5:$H$304,MATCH($P93,'例_対応履歴'!$J$5:$J$304,0))),""))</f>
        <v/>
      </c>
      <c r="N93" s="10">
        <f>IF($A93="","",IF($K93=0,"対応履歴なし",IF($M93="",IF($L93="","次回予定なし","期日未定"),IF($M93&lt;'例_次回アクション'!$B$2,"期日超過 "&amp;('例_次回アクション'!$B$2-$M93)&amp;"日",IF($M93='例_次回アクション'!$B$2,"今日","あと"&amp;($M93-'例_次回アクション'!$B$2)&amp;"日")))))</f>
        <v/>
      </c>
      <c r="O93" s="12">
        <f>IF($P93="","",IF($M93&lt;&gt;"",$M93+ROW()/100000,IF($L93&lt;&gt;"",100000+ROW()/100000,"")))</f>
        <v/>
      </c>
      <c r="P93" s="12">
        <f>IF(OR($A93="",$K93=0),"",_xlfn.MAXIFS('例_対応履歴'!$J$5:$J$304,'例_対応履歴'!$B$5:$B$304,$A93))</f>
        <v/>
      </c>
    </row>
    <row r="94">
      <c r="A94" s="7" t="n"/>
      <c r="B94" s="7" t="n"/>
      <c r="C94" s="8" t="n"/>
      <c r="D94" s="8" t="n"/>
      <c r="E94" s="8" t="n"/>
      <c r="F94" s="8" t="n"/>
      <c r="G94" s="7" t="n"/>
      <c r="H94" s="7" t="n"/>
      <c r="I94" s="8" t="n"/>
      <c r="J94" s="9">
        <f>IF($A94="","",IF($K94=0,"",_xlfn.MAXIFS('例_対応履歴'!$A$5:$A$304,'例_対応履歴'!$B$5:$B$304,$A94)))</f>
        <v/>
      </c>
      <c r="K94" s="10">
        <f>IF($A94="","",COUNTIF('例_対応履歴'!$B$5:$B$304,$A94))</f>
        <v/>
      </c>
      <c r="L94" s="11">
        <f>IF($P94="","",IFERROR(INDEX('例_対応履歴'!$G$5:$G$304,MATCH($P94,'例_対応履歴'!$J$5:$J$304,0))&amp;"",""))</f>
        <v/>
      </c>
      <c r="M94" s="9">
        <f>IF($P94="","",IFERROR(IF(INDEX('例_対応履歴'!$H$5:$H$304,MATCH($P94,'例_対応履歴'!$J$5:$J$304,0))="","",INDEX('例_対応履歴'!$H$5:$H$304,MATCH($P94,'例_対応履歴'!$J$5:$J$304,0))),""))</f>
        <v/>
      </c>
      <c r="N94" s="10">
        <f>IF($A94="","",IF($K94=0,"対応履歴なし",IF($M94="",IF($L94="","次回予定なし","期日未定"),IF($M94&lt;'例_次回アクション'!$B$2,"期日超過 "&amp;('例_次回アクション'!$B$2-$M94)&amp;"日",IF($M94='例_次回アクション'!$B$2,"今日","あと"&amp;($M94-'例_次回アクション'!$B$2)&amp;"日")))))</f>
        <v/>
      </c>
      <c r="O94" s="12">
        <f>IF($P94="","",IF($M94&lt;&gt;"",$M94+ROW()/100000,IF($L94&lt;&gt;"",100000+ROW()/100000,"")))</f>
        <v/>
      </c>
      <c r="P94" s="12">
        <f>IF(OR($A94="",$K94=0),"",_xlfn.MAXIFS('例_対応履歴'!$J$5:$J$304,'例_対応履歴'!$B$5:$B$304,$A94))</f>
        <v/>
      </c>
    </row>
    <row r="95">
      <c r="A95" s="7" t="n"/>
      <c r="B95" s="7" t="n"/>
      <c r="C95" s="8" t="n"/>
      <c r="D95" s="8" t="n"/>
      <c r="E95" s="8" t="n"/>
      <c r="F95" s="8" t="n"/>
      <c r="G95" s="7" t="n"/>
      <c r="H95" s="7" t="n"/>
      <c r="I95" s="8" t="n"/>
      <c r="J95" s="9">
        <f>IF($A95="","",IF($K95=0,"",_xlfn.MAXIFS('例_対応履歴'!$A$5:$A$304,'例_対応履歴'!$B$5:$B$304,$A95)))</f>
        <v/>
      </c>
      <c r="K95" s="10">
        <f>IF($A95="","",COUNTIF('例_対応履歴'!$B$5:$B$304,$A95))</f>
        <v/>
      </c>
      <c r="L95" s="11">
        <f>IF($P95="","",IFERROR(INDEX('例_対応履歴'!$G$5:$G$304,MATCH($P95,'例_対応履歴'!$J$5:$J$304,0))&amp;"",""))</f>
        <v/>
      </c>
      <c r="M95" s="9">
        <f>IF($P95="","",IFERROR(IF(INDEX('例_対応履歴'!$H$5:$H$304,MATCH($P95,'例_対応履歴'!$J$5:$J$304,0))="","",INDEX('例_対応履歴'!$H$5:$H$304,MATCH($P95,'例_対応履歴'!$J$5:$J$304,0))),""))</f>
        <v/>
      </c>
      <c r="N95" s="10">
        <f>IF($A95="","",IF($K95=0,"対応履歴なし",IF($M95="",IF($L95="","次回予定なし","期日未定"),IF($M95&lt;'例_次回アクション'!$B$2,"期日超過 "&amp;('例_次回アクション'!$B$2-$M95)&amp;"日",IF($M95='例_次回アクション'!$B$2,"今日","あと"&amp;($M95-'例_次回アクション'!$B$2)&amp;"日")))))</f>
        <v/>
      </c>
      <c r="O95" s="12">
        <f>IF($P95="","",IF($M95&lt;&gt;"",$M95+ROW()/100000,IF($L95&lt;&gt;"",100000+ROW()/100000,"")))</f>
        <v/>
      </c>
      <c r="P95" s="12">
        <f>IF(OR($A95="",$K95=0),"",_xlfn.MAXIFS('例_対応履歴'!$J$5:$J$304,'例_対応履歴'!$B$5:$B$304,$A95))</f>
        <v/>
      </c>
    </row>
    <row r="96">
      <c r="A96" s="7" t="n"/>
      <c r="B96" s="7" t="n"/>
      <c r="C96" s="8" t="n"/>
      <c r="D96" s="8" t="n"/>
      <c r="E96" s="8" t="n"/>
      <c r="F96" s="8" t="n"/>
      <c r="G96" s="7" t="n"/>
      <c r="H96" s="7" t="n"/>
      <c r="I96" s="8" t="n"/>
      <c r="J96" s="9">
        <f>IF($A96="","",IF($K96=0,"",_xlfn.MAXIFS('例_対応履歴'!$A$5:$A$304,'例_対応履歴'!$B$5:$B$304,$A96)))</f>
        <v/>
      </c>
      <c r="K96" s="10">
        <f>IF($A96="","",COUNTIF('例_対応履歴'!$B$5:$B$304,$A96))</f>
        <v/>
      </c>
      <c r="L96" s="11">
        <f>IF($P96="","",IFERROR(INDEX('例_対応履歴'!$G$5:$G$304,MATCH($P96,'例_対応履歴'!$J$5:$J$304,0))&amp;"",""))</f>
        <v/>
      </c>
      <c r="M96" s="9">
        <f>IF($P96="","",IFERROR(IF(INDEX('例_対応履歴'!$H$5:$H$304,MATCH($P96,'例_対応履歴'!$J$5:$J$304,0))="","",INDEX('例_対応履歴'!$H$5:$H$304,MATCH($P96,'例_対応履歴'!$J$5:$J$304,0))),""))</f>
        <v/>
      </c>
      <c r="N96" s="10">
        <f>IF($A96="","",IF($K96=0,"対応履歴なし",IF($M96="",IF($L96="","次回予定なし","期日未定"),IF($M96&lt;'例_次回アクション'!$B$2,"期日超過 "&amp;('例_次回アクション'!$B$2-$M96)&amp;"日",IF($M96='例_次回アクション'!$B$2,"今日","あと"&amp;($M96-'例_次回アクション'!$B$2)&amp;"日")))))</f>
        <v/>
      </c>
      <c r="O96" s="12">
        <f>IF($P96="","",IF($M96&lt;&gt;"",$M96+ROW()/100000,IF($L96&lt;&gt;"",100000+ROW()/100000,"")))</f>
        <v/>
      </c>
      <c r="P96" s="12">
        <f>IF(OR($A96="",$K96=0),"",_xlfn.MAXIFS('例_対応履歴'!$J$5:$J$304,'例_対応履歴'!$B$5:$B$304,$A96))</f>
        <v/>
      </c>
    </row>
    <row r="97">
      <c r="A97" s="7" t="n"/>
      <c r="B97" s="7" t="n"/>
      <c r="C97" s="8" t="n"/>
      <c r="D97" s="8" t="n"/>
      <c r="E97" s="8" t="n"/>
      <c r="F97" s="8" t="n"/>
      <c r="G97" s="7" t="n"/>
      <c r="H97" s="7" t="n"/>
      <c r="I97" s="8" t="n"/>
      <c r="J97" s="9">
        <f>IF($A97="","",IF($K97=0,"",_xlfn.MAXIFS('例_対応履歴'!$A$5:$A$304,'例_対応履歴'!$B$5:$B$304,$A97)))</f>
        <v/>
      </c>
      <c r="K97" s="10">
        <f>IF($A97="","",COUNTIF('例_対応履歴'!$B$5:$B$304,$A97))</f>
        <v/>
      </c>
      <c r="L97" s="11">
        <f>IF($P97="","",IFERROR(INDEX('例_対応履歴'!$G$5:$G$304,MATCH($P97,'例_対応履歴'!$J$5:$J$304,0))&amp;"",""))</f>
        <v/>
      </c>
      <c r="M97" s="9">
        <f>IF($P97="","",IFERROR(IF(INDEX('例_対応履歴'!$H$5:$H$304,MATCH($P97,'例_対応履歴'!$J$5:$J$304,0))="","",INDEX('例_対応履歴'!$H$5:$H$304,MATCH($P97,'例_対応履歴'!$J$5:$J$304,0))),""))</f>
        <v/>
      </c>
      <c r="N97" s="10">
        <f>IF($A97="","",IF($K97=0,"対応履歴なし",IF($M97="",IF($L97="","次回予定なし","期日未定"),IF($M97&lt;'例_次回アクション'!$B$2,"期日超過 "&amp;('例_次回アクション'!$B$2-$M97)&amp;"日",IF($M97='例_次回アクション'!$B$2,"今日","あと"&amp;($M97-'例_次回アクション'!$B$2)&amp;"日")))))</f>
        <v/>
      </c>
      <c r="O97" s="12">
        <f>IF($P97="","",IF($M97&lt;&gt;"",$M97+ROW()/100000,IF($L97&lt;&gt;"",100000+ROW()/100000,"")))</f>
        <v/>
      </c>
      <c r="P97" s="12">
        <f>IF(OR($A97="",$K97=0),"",_xlfn.MAXIFS('例_対応履歴'!$J$5:$J$304,'例_対応履歴'!$B$5:$B$304,$A97))</f>
        <v/>
      </c>
    </row>
    <row r="98">
      <c r="A98" s="7" t="n"/>
      <c r="B98" s="7" t="n"/>
      <c r="C98" s="8" t="n"/>
      <c r="D98" s="8" t="n"/>
      <c r="E98" s="8" t="n"/>
      <c r="F98" s="8" t="n"/>
      <c r="G98" s="7" t="n"/>
      <c r="H98" s="7" t="n"/>
      <c r="I98" s="8" t="n"/>
      <c r="J98" s="9">
        <f>IF($A98="","",IF($K98=0,"",_xlfn.MAXIFS('例_対応履歴'!$A$5:$A$304,'例_対応履歴'!$B$5:$B$304,$A98)))</f>
        <v/>
      </c>
      <c r="K98" s="10">
        <f>IF($A98="","",COUNTIF('例_対応履歴'!$B$5:$B$304,$A98))</f>
        <v/>
      </c>
      <c r="L98" s="11">
        <f>IF($P98="","",IFERROR(INDEX('例_対応履歴'!$G$5:$G$304,MATCH($P98,'例_対応履歴'!$J$5:$J$304,0))&amp;"",""))</f>
        <v/>
      </c>
      <c r="M98" s="9">
        <f>IF($P98="","",IFERROR(IF(INDEX('例_対応履歴'!$H$5:$H$304,MATCH($P98,'例_対応履歴'!$J$5:$J$304,0))="","",INDEX('例_対応履歴'!$H$5:$H$304,MATCH($P98,'例_対応履歴'!$J$5:$J$304,0))),""))</f>
        <v/>
      </c>
      <c r="N98" s="10">
        <f>IF($A98="","",IF($K98=0,"対応履歴なし",IF($M98="",IF($L98="","次回予定なし","期日未定"),IF($M98&lt;'例_次回アクション'!$B$2,"期日超過 "&amp;('例_次回アクション'!$B$2-$M98)&amp;"日",IF($M98='例_次回アクション'!$B$2,"今日","あと"&amp;($M98-'例_次回アクション'!$B$2)&amp;"日")))))</f>
        <v/>
      </c>
      <c r="O98" s="12">
        <f>IF($P98="","",IF($M98&lt;&gt;"",$M98+ROW()/100000,IF($L98&lt;&gt;"",100000+ROW()/100000,"")))</f>
        <v/>
      </c>
      <c r="P98" s="12">
        <f>IF(OR($A98="",$K98=0),"",_xlfn.MAXIFS('例_対応履歴'!$J$5:$J$304,'例_対応履歴'!$B$5:$B$304,$A98))</f>
        <v/>
      </c>
    </row>
    <row r="99">
      <c r="A99" s="7" t="n"/>
      <c r="B99" s="7" t="n"/>
      <c r="C99" s="8" t="n"/>
      <c r="D99" s="8" t="n"/>
      <c r="E99" s="8" t="n"/>
      <c r="F99" s="8" t="n"/>
      <c r="G99" s="7" t="n"/>
      <c r="H99" s="7" t="n"/>
      <c r="I99" s="8" t="n"/>
      <c r="J99" s="9">
        <f>IF($A99="","",IF($K99=0,"",_xlfn.MAXIFS('例_対応履歴'!$A$5:$A$304,'例_対応履歴'!$B$5:$B$304,$A99)))</f>
        <v/>
      </c>
      <c r="K99" s="10">
        <f>IF($A99="","",COUNTIF('例_対応履歴'!$B$5:$B$304,$A99))</f>
        <v/>
      </c>
      <c r="L99" s="11">
        <f>IF($P99="","",IFERROR(INDEX('例_対応履歴'!$G$5:$G$304,MATCH($P99,'例_対応履歴'!$J$5:$J$304,0))&amp;"",""))</f>
        <v/>
      </c>
      <c r="M99" s="9">
        <f>IF($P99="","",IFERROR(IF(INDEX('例_対応履歴'!$H$5:$H$304,MATCH($P99,'例_対応履歴'!$J$5:$J$304,0))="","",INDEX('例_対応履歴'!$H$5:$H$304,MATCH($P99,'例_対応履歴'!$J$5:$J$304,0))),""))</f>
        <v/>
      </c>
      <c r="N99" s="10">
        <f>IF($A99="","",IF($K99=0,"対応履歴なし",IF($M99="",IF($L99="","次回予定なし","期日未定"),IF($M99&lt;'例_次回アクション'!$B$2,"期日超過 "&amp;('例_次回アクション'!$B$2-$M99)&amp;"日",IF($M99='例_次回アクション'!$B$2,"今日","あと"&amp;($M99-'例_次回アクション'!$B$2)&amp;"日")))))</f>
        <v/>
      </c>
      <c r="O99" s="12">
        <f>IF($P99="","",IF($M99&lt;&gt;"",$M99+ROW()/100000,IF($L99&lt;&gt;"",100000+ROW()/100000,"")))</f>
        <v/>
      </c>
      <c r="P99" s="12">
        <f>IF(OR($A99="",$K99=0),"",_xlfn.MAXIFS('例_対応履歴'!$J$5:$J$304,'例_対応履歴'!$B$5:$B$304,$A99))</f>
        <v/>
      </c>
    </row>
    <row r="100">
      <c r="A100" s="7" t="n"/>
      <c r="B100" s="7" t="n"/>
      <c r="C100" s="8" t="n"/>
      <c r="D100" s="8" t="n"/>
      <c r="E100" s="8" t="n"/>
      <c r="F100" s="8" t="n"/>
      <c r="G100" s="7" t="n"/>
      <c r="H100" s="7" t="n"/>
      <c r="I100" s="8" t="n"/>
      <c r="J100" s="9">
        <f>IF($A100="","",IF($K100=0,"",_xlfn.MAXIFS('例_対応履歴'!$A$5:$A$304,'例_対応履歴'!$B$5:$B$304,$A100)))</f>
        <v/>
      </c>
      <c r="K100" s="10">
        <f>IF($A100="","",COUNTIF('例_対応履歴'!$B$5:$B$304,$A100))</f>
        <v/>
      </c>
      <c r="L100" s="11">
        <f>IF($P100="","",IFERROR(INDEX('例_対応履歴'!$G$5:$G$304,MATCH($P100,'例_対応履歴'!$J$5:$J$304,0))&amp;"",""))</f>
        <v/>
      </c>
      <c r="M100" s="9">
        <f>IF($P100="","",IFERROR(IF(INDEX('例_対応履歴'!$H$5:$H$304,MATCH($P100,'例_対応履歴'!$J$5:$J$304,0))="","",INDEX('例_対応履歴'!$H$5:$H$304,MATCH($P100,'例_対応履歴'!$J$5:$J$304,0))),""))</f>
        <v/>
      </c>
      <c r="N100" s="10">
        <f>IF($A100="","",IF($K100=0,"対応履歴なし",IF($M100="",IF($L100="","次回予定なし","期日未定"),IF($M100&lt;'例_次回アクション'!$B$2,"期日超過 "&amp;('例_次回アクション'!$B$2-$M100)&amp;"日",IF($M100='例_次回アクション'!$B$2,"今日","あと"&amp;($M100-'例_次回アクション'!$B$2)&amp;"日")))))</f>
        <v/>
      </c>
      <c r="O100" s="12">
        <f>IF($P100="","",IF($M100&lt;&gt;"",$M100+ROW()/100000,IF($L100&lt;&gt;"",100000+ROW()/100000,"")))</f>
        <v/>
      </c>
      <c r="P100" s="12">
        <f>IF(OR($A100="",$K100=0),"",_xlfn.MAXIFS('例_対応履歴'!$J$5:$J$304,'例_対応履歴'!$B$5:$B$304,$A100))</f>
        <v/>
      </c>
    </row>
    <row r="101">
      <c r="A101" s="7" t="n"/>
      <c r="B101" s="7" t="n"/>
      <c r="C101" s="8" t="n"/>
      <c r="D101" s="8" t="n"/>
      <c r="E101" s="8" t="n"/>
      <c r="F101" s="8" t="n"/>
      <c r="G101" s="7" t="n"/>
      <c r="H101" s="7" t="n"/>
      <c r="I101" s="8" t="n"/>
      <c r="J101" s="9">
        <f>IF($A101="","",IF($K101=0,"",_xlfn.MAXIFS('例_対応履歴'!$A$5:$A$304,'例_対応履歴'!$B$5:$B$304,$A101)))</f>
        <v/>
      </c>
      <c r="K101" s="10">
        <f>IF($A101="","",COUNTIF('例_対応履歴'!$B$5:$B$304,$A101))</f>
        <v/>
      </c>
      <c r="L101" s="11">
        <f>IF($P101="","",IFERROR(INDEX('例_対応履歴'!$G$5:$G$304,MATCH($P101,'例_対応履歴'!$J$5:$J$304,0))&amp;"",""))</f>
        <v/>
      </c>
      <c r="M101" s="9">
        <f>IF($P101="","",IFERROR(IF(INDEX('例_対応履歴'!$H$5:$H$304,MATCH($P101,'例_対応履歴'!$J$5:$J$304,0))="","",INDEX('例_対応履歴'!$H$5:$H$304,MATCH($P101,'例_対応履歴'!$J$5:$J$304,0))),""))</f>
        <v/>
      </c>
      <c r="N101" s="10">
        <f>IF($A101="","",IF($K101=0,"対応履歴なし",IF($M101="",IF($L101="","次回予定なし","期日未定"),IF($M101&lt;'例_次回アクション'!$B$2,"期日超過 "&amp;('例_次回アクション'!$B$2-$M101)&amp;"日",IF($M101='例_次回アクション'!$B$2,"今日","あと"&amp;($M101-'例_次回アクション'!$B$2)&amp;"日")))))</f>
        <v/>
      </c>
      <c r="O101" s="12">
        <f>IF($P101="","",IF($M101&lt;&gt;"",$M101+ROW()/100000,IF($L101&lt;&gt;"",100000+ROW()/100000,"")))</f>
        <v/>
      </c>
      <c r="P101" s="12">
        <f>IF(OR($A101="",$K101=0),"",_xlfn.MAXIFS('例_対応履歴'!$J$5:$J$304,'例_対応履歴'!$B$5:$B$304,$A101))</f>
        <v/>
      </c>
    </row>
    <row r="102">
      <c r="A102" s="7" t="n"/>
      <c r="B102" s="7" t="n"/>
      <c r="C102" s="8" t="n"/>
      <c r="D102" s="8" t="n"/>
      <c r="E102" s="8" t="n"/>
      <c r="F102" s="8" t="n"/>
      <c r="G102" s="7" t="n"/>
      <c r="H102" s="7" t="n"/>
      <c r="I102" s="8" t="n"/>
      <c r="J102" s="9">
        <f>IF($A102="","",IF($K102=0,"",_xlfn.MAXIFS('例_対応履歴'!$A$5:$A$304,'例_対応履歴'!$B$5:$B$304,$A102)))</f>
        <v/>
      </c>
      <c r="K102" s="10">
        <f>IF($A102="","",COUNTIF('例_対応履歴'!$B$5:$B$304,$A102))</f>
        <v/>
      </c>
      <c r="L102" s="11">
        <f>IF($P102="","",IFERROR(INDEX('例_対応履歴'!$G$5:$G$304,MATCH($P102,'例_対応履歴'!$J$5:$J$304,0))&amp;"",""))</f>
        <v/>
      </c>
      <c r="M102" s="9">
        <f>IF($P102="","",IFERROR(IF(INDEX('例_対応履歴'!$H$5:$H$304,MATCH($P102,'例_対応履歴'!$J$5:$J$304,0))="","",INDEX('例_対応履歴'!$H$5:$H$304,MATCH($P102,'例_対応履歴'!$J$5:$J$304,0))),""))</f>
        <v/>
      </c>
      <c r="N102" s="10">
        <f>IF($A102="","",IF($K102=0,"対応履歴なし",IF($M102="",IF($L102="","次回予定なし","期日未定"),IF($M102&lt;'例_次回アクション'!$B$2,"期日超過 "&amp;('例_次回アクション'!$B$2-$M102)&amp;"日",IF($M102='例_次回アクション'!$B$2,"今日","あと"&amp;($M102-'例_次回アクション'!$B$2)&amp;"日")))))</f>
        <v/>
      </c>
      <c r="O102" s="12">
        <f>IF($P102="","",IF($M102&lt;&gt;"",$M102+ROW()/100000,IF($L102&lt;&gt;"",100000+ROW()/100000,"")))</f>
        <v/>
      </c>
      <c r="P102" s="12">
        <f>IF(OR($A102="",$K102=0),"",_xlfn.MAXIFS('例_対応履歴'!$J$5:$J$304,'例_対応履歴'!$B$5:$B$304,$A102))</f>
        <v/>
      </c>
    </row>
    <row r="103">
      <c r="A103" s="7" t="n"/>
      <c r="B103" s="7" t="n"/>
      <c r="C103" s="8" t="n"/>
      <c r="D103" s="8" t="n"/>
      <c r="E103" s="8" t="n"/>
      <c r="F103" s="8" t="n"/>
      <c r="G103" s="7" t="n"/>
      <c r="H103" s="7" t="n"/>
      <c r="I103" s="8" t="n"/>
      <c r="J103" s="9">
        <f>IF($A103="","",IF($K103=0,"",_xlfn.MAXIFS('例_対応履歴'!$A$5:$A$304,'例_対応履歴'!$B$5:$B$304,$A103)))</f>
        <v/>
      </c>
      <c r="K103" s="10">
        <f>IF($A103="","",COUNTIF('例_対応履歴'!$B$5:$B$304,$A103))</f>
        <v/>
      </c>
      <c r="L103" s="11">
        <f>IF($P103="","",IFERROR(INDEX('例_対応履歴'!$G$5:$G$304,MATCH($P103,'例_対応履歴'!$J$5:$J$304,0))&amp;"",""))</f>
        <v/>
      </c>
      <c r="M103" s="9">
        <f>IF($P103="","",IFERROR(IF(INDEX('例_対応履歴'!$H$5:$H$304,MATCH($P103,'例_対応履歴'!$J$5:$J$304,0))="","",INDEX('例_対応履歴'!$H$5:$H$304,MATCH($P103,'例_対応履歴'!$J$5:$J$304,0))),""))</f>
        <v/>
      </c>
      <c r="N103" s="10">
        <f>IF($A103="","",IF($K103=0,"対応履歴なし",IF($M103="",IF($L103="","次回予定なし","期日未定"),IF($M103&lt;'例_次回アクション'!$B$2,"期日超過 "&amp;('例_次回アクション'!$B$2-$M103)&amp;"日",IF($M103='例_次回アクション'!$B$2,"今日","あと"&amp;($M103-'例_次回アクション'!$B$2)&amp;"日")))))</f>
        <v/>
      </c>
      <c r="O103" s="12">
        <f>IF($P103="","",IF($M103&lt;&gt;"",$M103+ROW()/100000,IF($L103&lt;&gt;"",100000+ROW()/100000,"")))</f>
        <v/>
      </c>
      <c r="P103" s="12">
        <f>IF(OR($A103="",$K103=0),"",_xlfn.MAXIFS('例_対応履歴'!$J$5:$J$304,'例_対応履歴'!$B$5:$B$304,$A103))</f>
        <v/>
      </c>
    </row>
    <row r="104">
      <c r="A104" s="7" t="n"/>
      <c r="B104" s="7" t="n"/>
      <c r="C104" s="8" t="n"/>
      <c r="D104" s="8" t="n"/>
      <c r="E104" s="8" t="n"/>
      <c r="F104" s="8" t="n"/>
      <c r="G104" s="7" t="n"/>
      <c r="H104" s="7" t="n"/>
      <c r="I104" s="8" t="n"/>
      <c r="J104" s="9">
        <f>IF($A104="","",IF($K104=0,"",_xlfn.MAXIFS('例_対応履歴'!$A$5:$A$304,'例_対応履歴'!$B$5:$B$304,$A104)))</f>
        <v/>
      </c>
      <c r="K104" s="10">
        <f>IF($A104="","",COUNTIF('例_対応履歴'!$B$5:$B$304,$A104))</f>
        <v/>
      </c>
      <c r="L104" s="11">
        <f>IF($P104="","",IFERROR(INDEX('例_対応履歴'!$G$5:$G$304,MATCH($P104,'例_対応履歴'!$J$5:$J$304,0))&amp;"",""))</f>
        <v/>
      </c>
      <c r="M104" s="9">
        <f>IF($P104="","",IFERROR(IF(INDEX('例_対応履歴'!$H$5:$H$304,MATCH($P104,'例_対応履歴'!$J$5:$J$304,0))="","",INDEX('例_対応履歴'!$H$5:$H$304,MATCH($P104,'例_対応履歴'!$J$5:$J$304,0))),""))</f>
        <v/>
      </c>
      <c r="N104" s="10">
        <f>IF($A104="","",IF($K104=0,"対応履歴なし",IF($M104="",IF($L104="","次回予定なし","期日未定"),IF($M104&lt;'例_次回アクション'!$B$2,"期日超過 "&amp;('例_次回アクション'!$B$2-$M104)&amp;"日",IF($M104='例_次回アクション'!$B$2,"今日","あと"&amp;($M104-'例_次回アクション'!$B$2)&amp;"日")))))</f>
        <v/>
      </c>
      <c r="O104" s="12">
        <f>IF($P104="","",IF($M104&lt;&gt;"",$M104+ROW()/100000,IF($L104&lt;&gt;"",100000+ROW()/100000,"")))</f>
        <v/>
      </c>
      <c r="P104" s="12">
        <f>IF(OR($A104="",$K104=0),"",_xlfn.MAXIFS('例_対応履歴'!$J$5:$J$304,'例_対応履歴'!$B$5:$B$304,$A104))</f>
        <v/>
      </c>
    </row>
  </sheetData>
  <autoFilter ref="A4:P104"/>
  <mergeCells count="4">
    <mergeCell ref="O3:P3"/>
    <mergeCell ref="A2:N2"/>
    <mergeCell ref="J3:N3"/>
    <mergeCell ref="A1:N1"/>
  </mergeCells>
  <conditionalFormatting sqref="N5:N104">
    <cfRule type="expression" priority="1" dxfId="0">
      <formula>LEFT($N5,4)="期日超過"</formula>
    </cfRule>
  </conditionalFormatting>
  <dataValidations count="2">
    <dataValidation sqref="B5:B104" showDropDown="0" showInputMessage="0" showErrorMessage="1" allowBlank="1" errorTitle="選択してください" error="一覧から選んでください" type="list">
      <formula1>"法人,個人"</formula1>
    </dataValidation>
    <dataValidation sqref="H5:H104" showDropDown="0" showInputMessage="0" showErrorMessage="1" allowBlank="1" errorTitle="選択してください" error="A・B・C・D・取引中 から選んでください（使い方シートに付け方があります）" type="list">
      <formula1>"A,B,C,D,取引中"</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tabColor rgb="00B9C4CF"/>
    <outlinePr summaryBelow="1" summaryRight="1"/>
    <pageSetUpPr fitToPage="1"/>
  </sheetPr>
  <dimension ref="A1:K304"/>
  <sheetViews>
    <sheetView showGridLines="0" workbookViewId="0">
      <pane ySplit="4" topLeftCell="A5" activePane="bottomLeft" state="frozen"/>
      <selection pane="bottomLeft" activeCell="A1" sqref="A1"/>
    </sheetView>
  </sheetViews>
  <sheetFormatPr baseColWidth="8" defaultRowHeight="15"/>
  <cols>
    <col width="11" customWidth="1" min="1" max="1"/>
    <col width="9" customWidth="1" min="2" max="2"/>
    <col width="24" customWidth="1" min="3" max="3"/>
    <col width="9" customWidth="1" min="4" max="4"/>
    <col width="10" customWidth="1" min="5" max="5"/>
    <col width="48" customWidth="1" min="6" max="6"/>
    <col width="28" customWidth="1" min="7" max="7"/>
    <col width="11" customWidth="1" min="8" max="8"/>
    <col width="3" customWidth="1" min="9" max="9"/>
    <col width="10" customWidth="1" min="10" max="10"/>
    <col width="10" customWidth="1" min="11" max="11"/>
  </cols>
  <sheetData>
    <row r="1" ht="24" customHeight="1">
      <c r="A1" s="30" t="inlineStr">
        <is>
          <t>対応履歴（記入例・19件）</t>
        </is>
      </c>
      <c r="B1" s="31" t="n"/>
      <c r="C1" s="31" t="n"/>
      <c r="D1" s="31" t="n"/>
      <c r="E1" s="31" t="n"/>
      <c r="F1" s="31" t="n"/>
      <c r="G1" s="31" t="n"/>
      <c r="H1" s="31" t="n"/>
      <c r="I1" s="31" t="n"/>
      <c r="J1" s="31" t="n"/>
      <c r="K1" s="31" t="n"/>
    </row>
    <row r="2" ht="26" customHeight="1">
      <c r="A2" s="32" t="inlineStr">
        <is>
          <t>顧客IDは「顧客一覧」に登録したものから選びます。同じ日に2回書いたときは、下の行を新しい対応として数えます。次にやることが無いときは、次回アクションと期日を空にします。</t>
        </is>
      </c>
      <c r="B2" s="31" t="n"/>
      <c r="C2" s="31" t="n"/>
      <c r="D2" s="31" t="n"/>
      <c r="E2" s="31" t="n"/>
      <c r="F2" s="31" t="n"/>
      <c r="G2" s="31" t="n"/>
      <c r="H2" s="31" t="n"/>
      <c r="I2" s="31" t="n"/>
      <c r="J2" s="31" t="n"/>
      <c r="K2" s="31" t="n"/>
    </row>
    <row r="3" ht="15" customHeight="1">
      <c r="A3" s="31" t="n"/>
      <c r="B3" s="31" t="n"/>
      <c r="C3" s="31" t="n"/>
      <c r="D3" s="31" t="n"/>
      <c r="E3" s="31" t="n"/>
      <c r="F3" s="31" t="n"/>
      <c r="G3" s="31" t="n"/>
      <c r="H3" s="31" t="n"/>
      <c r="I3" s="31" t="n"/>
      <c r="J3" s="32" t="inlineStr">
        <is>
          <t>▼ 作業列</t>
        </is>
      </c>
      <c r="K3" s="31" t="n"/>
    </row>
    <row r="4" ht="30" customHeight="1">
      <c r="A4" s="4" t="inlineStr">
        <is>
          <t>日付</t>
        </is>
      </c>
      <c r="B4" s="4" t="inlineStr">
        <is>
          <t>顧客ID</t>
        </is>
      </c>
      <c r="C4" s="4" t="inlineStr">
        <is>
          <t>顧客名</t>
        </is>
      </c>
      <c r="D4" s="4" t="inlineStr">
        <is>
          <t>自社担当</t>
        </is>
      </c>
      <c r="E4" s="4" t="inlineStr">
        <is>
          <t>手段</t>
        </is>
      </c>
      <c r="F4" s="4" t="inlineStr">
        <is>
          <t>内容（何を聞いた・話した・決めた）</t>
        </is>
      </c>
      <c r="G4" s="4" t="inlineStr">
        <is>
          <t>次回アクション</t>
        </is>
      </c>
      <c r="H4" s="4" t="inlineStr">
        <is>
          <t>期日</t>
        </is>
      </c>
      <c r="I4" s="31" t="n"/>
      <c r="J4" s="6" t="inlineStr">
        <is>
          <t>行キー</t>
        </is>
      </c>
      <c r="K4" s="6" t="inlineStr">
        <is>
          <t>カルテ用</t>
        </is>
      </c>
    </row>
    <row r="5" ht="30" customHeight="1">
      <c r="A5" s="13" t="n">
        <v>46209</v>
      </c>
      <c r="B5" s="7" t="inlineStr">
        <is>
          <t>C001</t>
        </is>
      </c>
      <c r="C5" s="11">
        <f>IF($B5="","",IFERROR(INDEX('例_顧客一覧'!$C$5:$C$104,MATCH($B5,'例_顧客一覧'!$A$5:$A$104,0))&amp;"","※顧客一覧にないID"))</f>
        <v/>
      </c>
      <c r="D5" s="7" t="inlineStr">
        <is>
          <t>佐藤</t>
        </is>
      </c>
      <c r="E5" s="7" t="inlineStr">
        <is>
          <t>訪問</t>
        </is>
      </c>
      <c r="F5" s="14" t="inlineStr">
        <is>
          <t>事務用品の年間契約を相談された。いまの仕入先は3社。</t>
        </is>
      </c>
      <c r="G5" s="14" t="inlineStr">
        <is>
          <t>見積書を作って送る</t>
        </is>
      </c>
      <c r="H5" s="13" t="n">
        <v>46216</v>
      </c>
      <c r="I5" s="31" t="n"/>
      <c r="J5" s="12">
        <f>IF(ISNUMBER($A5),$A5+ROW()/100000,"")</f>
        <v/>
      </c>
      <c r="K5" s="12">
        <f>IF(AND(ISNUMBER($J5),$B5&lt;&gt;"",$B5='例_顧客カルテ'!$C$3),$J5,"")</f>
        <v/>
      </c>
    </row>
    <row r="6" ht="30" customHeight="1">
      <c r="A6" s="13" t="n">
        <v>46212</v>
      </c>
      <c r="B6" s="7" t="inlineStr">
        <is>
          <t>C002</t>
        </is>
      </c>
      <c r="C6" s="11">
        <f>IF($B6="","",IFERROR(INDEX('例_顧客一覧'!$C$5:$C$104,MATCH($B6,'例_顧客一覧'!$A$5:$A$104,0))&amp;"","※顧客一覧にないID"))</f>
        <v/>
      </c>
      <c r="D6" s="7" t="inlineStr">
        <is>
          <t>鈴木</t>
        </is>
      </c>
      <c r="E6" s="7" t="inlineStr">
        <is>
          <t>訪問</t>
        </is>
      </c>
      <c r="F6" s="14" t="inlineStr">
        <is>
          <t>現場事務所の備品を入れ替えたいとのこと。</t>
        </is>
      </c>
      <c r="G6" s="14" t="inlineStr">
        <is>
          <t>カタログを送る</t>
        </is>
      </c>
      <c r="H6" s="13" t="n">
        <v>46219</v>
      </c>
      <c r="I6" s="31" t="n"/>
      <c r="J6" s="12">
        <f>IF(ISNUMBER($A6),$A6+ROW()/100000,"")</f>
        <v/>
      </c>
      <c r="K6" s="12">
        <f>IF(AND(ISNUMBER($J6),$B6&lt;&gt;"",$B6='例_顧客カルテ'!$C$3),$J6,"")</f>
        <v/>
      </c>
    </row>
    <row r="7" ht="30" customHeight="1">
      <c r="A7" s="13" t="n">
        <v>46216</v>
      </c>
      <c r="B7" s="7" t="inlineStr">
        <is>
          <t>C001</t>
        </is>
      </c>
      <c r="C7" s="11">
        <f>IF($B7="","",IFERROR(INDEX('例_顧客一覧'!$C$5:$C$104,MATCH($B7,'例_顧客一覧'!$A$5:$A$104,0))&amp;"","※顧客一覧にないID"))</f>
        <v/>
      </c>
      <c r="D7" s="7" t="inlineStr">
        <is>
          <t>佐藤</t>
        </is>
      </c>
      <c r="E7" s="7" t="inlineStr">
        <is>
          <t>メール</t>
        </is>
      </c>
      <c r="F7" s="14" t="inlineStr">
        <is>
          <t>見積書を送った。</t>
        </is>
      </c>
      <c r="G7" s="14" t="inlineStr">
        <is>
          <t>電話で反応を聞く</t>
        </is>
      </c>
      <c r="H7" s="13" t="n">
        <v>46220</v>
      </c>
      <c r="I7" s="31" t="n"/>
      <c r="J7" s="12">
        <f>IF(ISNUMBER($A7),$A7+ROW()/100000,"")</f>
        <v/>
      </c>
      <c r="K7" s="12">
        <f>IF(AND(ISNUMBER($J7),$B7&lt;&gt;"",$B7='例_顧客カルテ'!$C$3),$J7,"")</f>
        <v/>
      </c>
    </row>
    <row r="8" ht="30" customHeight="1">
      <c r="A8" s="13" t="n">
        <v>46219</v>
      </c>
      <c r="B8" s="7" t="inlineStr">
        <is>
          <t>C002</t>
        </is>
      </c>
      <c r="C8" s="11">
        <f>IF($B8="","",IFERROR(INDEX('例_顧客一覧'!$C$5:$C$104,MATCH($B8,'例_顧客一覧'!$A$5:$A$104,0))&amp;"","※顧客一覧にないID"))</f>
        <v/>
      </c>
      <c r="D8" s="7" t="inlineStr">
        <is>
          <t>鈴木</t>
        </is>
      </c>
      <c r="E8" s="7" t="inlineStr">
        <is>
          <t>メール</t>
        </is>
      </c>
      <c r="F8" s="14" t="inlineStr">
        <is>
          <t>カタログを送った。</t>
        </is>
      </c>
      <c r="G8" s="14" t="inlineStr">
        <is>
          <t>希望の品目を電話で聞く</t>
        </is>
      </c>
      <c r="H8" s="13" t="n">
        <v>46226</v>
      </c>
      <c r="I8" s="31" t="n"/>
      <c r="J8" s="12">
        <f>IF(ISNUMBER($A8),$A8+ROW()/100000,"")</f>
        <v/>
      </c>
      <c r="K8" s="12">
        <f>IF(AND(ISNUMBER($J8),$B8&lt;&gt;"",$B8='例_顧客カルテ'!$C$3),$J8,"")</f>
        <v/>
      </c>
    </row>
    <row r="9" ht="30" customHeight="1">
      <c r="A9" s="13" t="n">
        <v>46220</v>
      </c>
      <c r="B9" s="7" t="inlineStr">
        <is>
          <t>C001</t>
        </is>
      </c>
      <c r="C9" s="11">
        <f>IF($B9="","",IFERROR(INDEX('例_顧客一覧'!$C$5:$C$104,MATCH($B9,'例_顧客一覧'!$A$5:$A$104,0))&amp;"","※顧客一覧にないID"))</f>
        <v/>
      </c>
      <c r="D9" s="7" t="inlineStr">
        <is>
          <t>佐藤</t>
        </is>
      </c>
      <c r="E9" s="7" t="inlineStr">
        <is>
          <t>電話</t>
        </is>
      </c>
      <c r="F9" s="14" t="inlineStr">
        <is>
          <t>単価の見直しを頼まれた。月500点の前提で再見積。</t>
        </is>
      </c>
      <c r="G9" s="14" t="inlineStr">
        <is>
          <t>再見積を持っていく</t>
        </is>
      </c>
      <c r="H9" s="13" t="n">
        <v>46239</v>
      </c>
      <c r="I9" s="31" t="n"/>
      <c r="J9" s="12">
        <f>IF(ISNUMBER($A9),$A9+ROW()/100000,"")</f>
        <v/>
      </c>
      <c r="K9" s="12">
        <f>IF(AND(ISNUMBER($J9),$B9&lt;&gt;"",$B9='例_顧客カルテ'!$C$3),$J9,"")</f>
        <v/>
      </c>
    </row>
    <row r="10" ht="30" customHeight="1">
      <c r="A10" s="13" t="n">
        <v>46225</v>
      </c>
      <c r="B10" s="7" t="inlineStr">
        <is>
          <t>C003</t>
        </is>
      </c>
      <c r="C10" s="11">
        <f>IF($B10="","",IFERROR(INDEX('例_顧客一覧'!$C$5:$C$104,MATCH($B10,'例_顧客一覧'!$A$5:$A$104,0))&amp;"","※顧客一覧にないID"))</f>
        <v/>
      </c>
      <c r="D10" s="7" t="inlineStr">
        <is>
          <t>高橋</t>
        </is>
      </c>
      <c r="E10" s="7" t="inlineStr">
        <is>
          <t>電話</t>
        </is>
      </c>
      <c r="F10" s="14" t="inlineStr">
        <is>
          <t>問い合わせフォームから連絡あり。梱包資材を探している。</t>
        </is>
      </c>
      <c r="G10" s="14" t="inlineStr">
        <is>
          <t>サンプルを送る</t>
        </is>
      </c>
      <c r="H10" s="13" t="n">
        <v>46232</v>
      </c>
      <c r="I10" s="31" t="n"/>
      <c r="J10" s="12">
        <f>IF(ISNUMBER($A10),$A10+ROW()/100000,"")</f>
        <v/>
      </c>
      <c r="K10" s="12">
        <f>IF(AND(ISNUMBER($J10),$B10&lt;&gt;"",$B10='例_顧客カルテ'!$C$3),$J10,"")</f>
        <v/>
      </c>
    </row>
    <row r="11" ht="30" customHeight="1">
      <c r="A11" s="13" t="n">
        <v>46232</v>
      </c>
      <c r="B11" s="7" t="inlineStr">
        <is>
          <t>C003</t>
        </is>
      </c>
      <c r="C11" s="11">
        <f>IF($B11="","",IFERROR(INDEX('例_顧客一覧'!$C$5:$C$104,MATCH($B11,'例_顧客一覧'!$A$5:$A$104,0))&amp;"","※顧客一覧にないID"))</f>
        <v/>
      </c>
      <c r="D11" s="7" t="inlineStr">
        <is>
          <t>高橋</t>
        </is>
      </c>
      <c r="E11" s="7" t="inlineStr">
        <is>
          <t>メール</t>
        </is>
      </c>
      <c r="F11" s="14" t="inlineStr">
        <is>
          <t>サンプルを送った。</t>
        </is>
      </c>
      <c r="G11" s="14" t="inlineStr">
        <is>
          <t>使い心地を電話で聞く</t>
        </is>
      </c>
      <c r="H11" s="13" t="n">
        <v>46241</v>
      </c>
      <c r="I11" s="31" t="n"/>
      <c r="J11" s="12">
        <f>IF(ISNUMBER($A11),$A11+ROW()/100000,"")</f>
        <v/>
      </c>
      <c r="K11" s="12">
        <f>IF(AND(ISNUMBER($J11),$B11&lt;&gt;"",$B11='例_顧客カルテ'!$C$3),$J11,"")</f>
        <v/>
      </c>
    </row>
    <row r="12" ht="30" customHeight="1">
      <c r="A12" s="13" t="n">
        <v>46239</v>
      </c>
      <c r="B12" s="7" t="inlineStr">
        <is>
          <t>C001</t>
        </is>
      </c>
      <c r="C12" s="11">
        <f>IF($B12="","",IFERROR(INDEX('例_顧客一覧'!$C$5:$C$104,MATCH($B12,'例_顧客一覧'!$A$5:$A$104,0))&amp;"","※顧客一覧にないID"))</f>
        <v/>
      </c>
      <c r="D12" s="7" t="inlineStr">
        <is>
          <t>鈴木</t>
        </is>
      </c>
      <c r="E12" s="7" t="inlineStr">
        <is>
          <t>訪問</t>
        </is>
      </c>
      <c r="F12" s="14" t="inlineStr">
        <is>
          <t>再見積を持参。決裁者の部長が同席した。</t>
        </is>
      </c>
      <c r="G12" s="14" t="inlineStr">
        <is>
          <t>稟議の結果を確認する</t>
        </is>
      </c>
      <c r="H12" s="13" t="n">
        <v>46259</v>
      </c>
      <c r="I12" s="31" t="n"/>
      <c r="J12" s="12">
        <f>IF(ISNUMBER($A12),$A12+ROW()/100000,"")</f>
        <v/>
      </c>
      <c r="K12" s="12">
        <f>IF(AND(ISNUMBER($J12),$B12&lt;&gt;"",$B12='例_顧客カルテ'!$C$3),$J12,"")</f>
        <v/>
      </c>
    </row>
    <row r="13" ht="30" customHeight="1">
      <c r="A13" s="13" t="n">
        <v>46241</v>
      </c>
      <c r="B13" s="7" t="inlineStr">
        <is>
          <t>C003</t>
        </is>
      </c>
      <c r="C13" s="11">
        <f>IF($B13="","",IFERROR(INDEX('例_顧客一覧'!$C$5:$C$104,MATCH($B13,'例_顧客一覧'!$A$5:$A$104,0))&amp;"","※顧客一覧にないID"))</f>
        <v/>
      </c>
      <c r="D13" s="7" t="inlineStr">
        <is>
          <t>高橋</t>
        </is>
      </c>
      <c r="E13" s="7" t="inlineStr">
        <is>
          <t>電話</t>
        </is>
      </c>
      <c r="F13" s="14" t="inlineStr">
        <is>
          <t>サイズ違いのものがほしいと言われた。</t>
        </is>
      </c>
      <c r="G13" s="14" t="inlineStr">
        <is>
          <t>サイズ違いのサンプルを送る</t>
        </is>
      </c>
      <c r="H13" s="13" t="n">
        <v>46248</v>
      </c>
      <c r="I13" s="31" t="n"/>
      <c r="J13" s="12">
        <f>IF(ISNUMBER($A13),$A13+ROW()/100000,"")</f>
        <v/>
      </c>
      <c r="K13" s="12">
        <f>IF(AND(ISNUMBER($J13),$B13&lt;&gt;"",$B13='例_顧客カルテ'!$C$3),$J13,"")</f>
        <v/>
      </c>
    </row>
    <row r="14" ht="30" customHeight="1">
      <c r="A14" s="13" t="n">
        <v>46248</v>
      </c>
      <c r="B14" s="7" t="inlineStr">
        <is>
          <t>C003</t>
        </is>
      </c>
      <c r="C14" s="11">
        <f>IF($B14="","",IFERROR(INDEX('例_顧客一覧'!$C$5:$C$104,MATCH($B14,'例_顧客一覧'!$A$5:$A$104,0))&amp;"","※顧客一覧にないID"))</f>
        <v/>
      </c>
      <c r="D14" s="7" t="inlineStr">
        <is>
          <t>高橋</t>
        </is>
      </c>
      <c r="E14" s="7" t="inlineStr">
        <is>
          <t>メール</t>
        </is>
      </c>
      <c r="F14" s="14" t="inlineStr">
        <is>
          <t>サイズ違いのサンプルを送った。</t>
        </is>
      </c>
      <c r="G14" s="14" t="inlineStr">
        <is>
          <t>見積を出す</t>
        </is>
      </c>
      <c r="H14" s="13" t="n">
        <v>46266</v>
      </c>
      <c r="I14" s="31" t="n"/>
      <c r="J14" s="12">
        <f>IF(ISNUMBER($A14),$A14+ROW()/100000,"")</f>
        <v/>
      </c>
      <c r="K14" s="12">
        <f>IF(AND(ISNUMBER($J14),$B14&lt;&gt;"",$B14='例_顧客カルテ'!$C$3),$J14,"")</f>
        <v/>
      </c>
    </row>
    <row r="15" ht="30" customHeight="1">
      <c r="A15" s="13" t="n">
        <v>46254</v>
      </c>
      <c r="B15" s="7" t="inlineStr">
        <is>
          <t>C002</t>
        </is>
      </c>
      <c r="C15" s="11">
        <f>IF($B15="","",IFERROR(INDEX('例_顧客一覧'!$C$5:$C$104,MATCH($B15,'例_顧客一覧'!$A$5:$A$104,0))&amp;"","※顧客一覧にないID"))</f>
        <v/>
      </c>
      <c r="D15" s="7" t="inlineStr">
        <is>
          <t>鈴木</t>
        </is>
      </c>
      <c r="E15" s="7" t="inlineStr">
        <is>
          <t>電話</t>
        </is>
      </c>
      <c r="F15" s="14" t="inlineStr">
        <is>
          <t>秋に現場が始まるので、9月に決めたいとのこと。</t>
        </is>
      </c>
      <c r="G15" s="14" t="inlineStr">
        <is>
          <t>見積を出す</t>
        </is>
      </c>
      <c r="H15" s="13" t="n">
        <v>46275</v>
      </c>
      <c r="I15" s="31" t="n"/>
      <c r="J15" s="12">
        <f>IF(ISNUMBER($A15),$A15+ROW()/100000,"")</f>
        <v/>
      </c>
      <c r="K15" s="12">
        <f>IF(AND(ISNUMBER($J15),$B15&lt;&gt;"",$B15='例_顧客カルテ'!$C$3),$J15,"")</f>
        <v/>
      </c>
    </row>
    <row r="16" ht="30" customHeight="1">
      <c r="A16" s="13" t="n">
        <v>46256</v>
      </c>
      <c r="B16" s="7" t="inlineStr">
        <is>
          <t>C004</t>
        </is>
      </c>
      <c r="C16" s="11">
        <f>IF($B16="","",IFERROR(INDEX('例_顧客一覧'!$C$5:$C$104,MATCH($B16,'例_顧客一覧'!$A$5:$A$104,0))&amp;"","※顧客一覧にないID"))</f>
        <v/>
      </c>
      <c r="D16" s="7" t="inlineStr">
        <is>
          <t>鈴木</t>
        </is>
      </c>
      <c r="E16" s="7" t="inlineStr">
        <is>
          <t>来店</t>
        </is>
      </c>
      <c r="F16" s="14" t="inlineStr">
        <is>
          <t>初めて来店。用途と予算を聞いた。</t>
        </is>
      </c>
      <c r="G16" s="14" t="inlineStr">
        <is>
          <t>お礼のメールを送る</t>
        </is>
      </c>
      <c r="H16" s="13" t="n">
        <v>46257</v>
      </c>
      <c r="I16" s="31" t="n"/>
      <c r="J16" s="12">
        <f>IF(ISNUMBER($A16),$A16+ROW()/100000,"")</f>
        <v/>
      </c>
      <c r="K16" s="12">
        <f>IF(AND(ISNUMBER($J16),$B16&lt;&gt;"",$B16='例_顧客カルテ'!$C$3),$J16,"")</f>
        <v/>
      </c>
    </row>
    <row r="17" ht="30" customHeight="1">
      <c r="A17" s="13" t="n">
        <v>46257</v>
      </c>
      <c r="B17" s="7" t="inlineStr">
        <is>
          <t>C004</t>
        </is>
      </c>
      <c r="C17" s="11">
        <f>IF($B17="","",IFERROR(INDEX('例_顧客一覧'!$C$5:$C$104,MATCH($B17,'例_顧客一覧'!$A$5:$A$104,0))&amp;"","※顧客一覧にないID"))</f>
        <v/>
      </c>
      <c r="D17" s="7" t="inlineStr">
        <is>
          <t>鈴木</t>
        </is>
      </c>
      <c r="E17" s="7" t="inlineStr">
        <is>
          <t>メール</t>
        </is>
      </c>
      <c r="F17" s="14" t="inlineStr">
        <is>
          <t>お礼のメールを送った。</t>
        </is>
      </c>
      <c r="G17" s="14" t="inlineStr">
        <is>
          <t>2回目の来店を案内する</t>
        </is>
      </c>
      <c r="H17" s="13" t="n">
        <v>46280</v>
      </c>
      <c r="I17" s="31" t="n"/>
      <c r="J17" s="12">
        <f>IF(ISNUMBER($A17),$A17+ROW()/100000,"")</f>
        <v/>
      </c>
      <c r="K17" s="12">
        <f>IF(AND(ISNUMBER($J17),$B17&lt;&gt;"",$B17='例_顧客カルテ'!$C$3),$J17,"")</f>
        <v/>
      </c>
    </row>
    <row r="18" ht="30" customHeight="1">
      <c r="A18" s="13" t="n">
        <v>46277</v>
      </c>
      <c r="B18" s="7" t="inlineStr">
        <is>
          <t>C002</t>
        </is>
      </c>
      <c r="C18" s="11">
        <f>IF($B18="","",IFERROR(INDEX('例_顧客一覧'!$C$5:$C$104,MATCH($B18,'例_顧客一覧'!$A$5:$A$104,0))&amp;"","※顧客一覧にないID"))</f>
        <v/>
      </c>
      <c r="D18" s="7" t="inlineStr">
        <is>
          <t>鈴木</t>
        </is>
      </c>
      <c r="E18" s="7" t="inlineStr">
        <is>
          <t>メール</t>
        </is>
      </c>
      <c r="F18" s="14" t="inlineStr">
        <is>
          <t>見積書を送った。</t>
        </is>
      </c>
      <c r="G18" s="14" t="inlineStr">
        <is>
          <t>電話でフォローする</t>
        </is>
      </c>
      <c r="H18" s="13" t="n">
        <v>46290</v>
      </c>
      <c r="I18" s="31" t="n"/>
      <c r="J18" s="12">
        <f>IF(ISNUMBER($A18),$A18+ROW()/100000,"")</f>
        <v/>
      </c>
      <c r="K18" s="12">
        <f>IF(AND(ISNUMBER($J18),$B18&lt;&gt;"",$B18='例_顧客カルテ'!$C$3),$J18,"")</f>
        <v/>
      </c>
    </row>
    <row r="19" ht="30" customHeight="1">
      <c r="A19" s="13" t="n">
        <v>46284</v>
      </c>
      <c r="B19" s="7" t="inlineStr">
        <is>
          <t>C004</t>
        </is>
      </c>
      <c r="C19" s="11">
        <f>IF($B19="","",IFERROR(INDEX('例_顧客一覧'!$C$5:$C$104,MATCH($B19,'例_顧客一覧'!$A$5:$A$104,0))&amp;"","※顧客一覧にないID"))</f>
        <v/>
      </c>
      <c r="D19" s="7" t="inlineStr">
        <is>
          <t>鈴木</t>
        </is>
      </c>
      <c r="E19" s="7" t="inlineStr">
        <is>
          <t>来店</t>
        </is>
      </c>
      <c r="F19" s="14" t="inlineStr">
        <is>
          <t>2回目の来店。前回の商品の使い心地を聞いた。</t>
        </is>
      </c>
      <c r="G19" s="14" t="inlineStr">
        <is>
          <t>次回の来店予約を確認する</t>
        </is>
      </c>
      <c r="H19" s="13" t="n">
        <v>46305</v>
      </c>
      <c r="I19" s="31" t="n"/>
      <c r="J19" s="12">
        <f>IF(ISNUMBER($A19),$A19+ROW()/100000,"")</f>
        <v/>
      </c>
      <c r="K19" s="12">
        <f>IF(AND(ISNUMBER($J19),$B19&lt;&gt;"",$B19='例_顧客カルテ'!$C$3),$J19,"")</f>
        <v/>
      </c>
    </row>
    <row r="20" ht="30" customHeight="1">
      <c r="A20" s="13" t="n">
        <v>46291</v>
      </c>
      <c r="B20" s="7" t="inlineStr">
        <is>
          <t>C005</t>
        </is>
      </c>
      <c r="C20" s="11">
        <f>IF($B20="","",IFERROR(INDEX('例_顧客一覧'!$C$5:$C$104,MATCH($B20,'例_顧客一覧'!$A$5:$A$104,0))&amp;"","※顧客一覧にないID"))</f>
        <v/>
      </c>
      <c r="D20" s="7" t="inlineStr">
        <is>
          <t>高橋</t>
        </is>
      </c>
      <c r="E20" s="7" t="inlineStr">
        <is>
          <t>電話</t>
        </is>
      </c>
      <c r="F20" s="14" t="inlineStr">
        <is>
          <t>知人の紹介で問い合わせ。時期は決まっていない。</t>
        </is>
      </c>
      <c r="G20" s="14" t="inlineStr">
        <is>
          <t>年内に一度連絡する</t>
        </is>
      </c>
      <c r="H20" s="13" t="n"/>
      <c r="I20" s="31" t="n"/>
      <c r="J20" s="12">
        <f>IF(ISNUMBER($A20),$A20+ROW()/100000,"")</f>
        <v/>
      </c>
      <c r="K20" s="12">
        <f>IF(AND(ISNUMBER($J20),$B20&lt;&gt;"",$B20='例_顧客カルテ'!$C$3),$J20,"")</f>
        <v/>
      </c>
    </row>
    <row r="21" ht="30" customHeight="1">
      <c r="A21" s="13" t="n">
        <v>46294</v>
      </c>
      <c r="B21" s="7" t="inlineStr">
        <is>
          <t>C003</t>
        </is>
      </c>
      <c r="C21" s="11">
        <f>IF($B21="","",IFERROR(INDEX('例_顧客一覧'!$C$5:$C$104,MATCH($B21,'例_顧客一覧'!$A$5:$A$104,0))&amp;"","※顧客一覧にないID"))</f>
        <v/>
      </c>
      <c r="D21" s="7" t="inlineStr">
        <is>
          <t>高橋</t>
        </is>
      </c>
      <c r="E21" s="7" t="inlineStr">
        <is>
          <t>訪問</t>
        </is>
      </c>
      <c r="F21" s="14" t="inlineStr">
        <is>
          <t>見積書を持参して説明。社内で検討するとのこと。</t>
        </is>
      </c>
      <c r="G21" s="14" t="inlineStr">
        <is>
          <t>検討結果を電話で確認する</t>
        </is>
      </c>
      <c r="H21" s="13" t="n">
        <v>46295</v>
      </c>
      <c r="I21" s="31" t="n"/>
      <c r="J21" s="12">
        <f>IF(ISNUMBER($A21),$A21+ROW()/100000,"")</f>
        <v/>
      </c>
      <c r="K21" s="12">
        <f>IF(AND(ISNUMBER($J21),$B21&lt;&gt;"",$B21='例_顧客カルテ'!$C$3),$J21,"")</f>
        <v/>
      </c>
    </row>
    <row r="22" ht="30" customHeight="1">
      <c r="A22" s="13" t="n">
        <v>46295</v>
      </c>
      <c r="B22" s="7" t="inlineStr">
        <is>
          <t>C001</t>
        </is>
      </c>
      <c r="C22" s="11">
        <f>IF($B22="","",IFERROR(INDEX('例_顧客一覧'!$C$5:$C$104,MATCH($B22,'例_顧客一覧'!$A$5:$A$104,0))&amp;"","※顧客一覧にないID"))</f>
        <v/>
      </c>
      <c r="D22" s="7" t="inlineStr">
        <is>
          <t>佐藤</t>
        </is>
      </c>
      <c r="E22" s="7" t="inlineStr">
        <is>
          <t>電話</t>
        </is>
      </c>
      <c r="F22" s="14" t="inlineStr">
        <is>
          <t>10月納品分から発注すると連絡あり。</t>
        </is>
      </c>
      <c r="G22" s="14" t="inlineStr">
        <is>
          <t>発注書の到着を待つ</t>
        </is>
      </c>
      <c r="H22" s="13" t="n">
        <v>46297</v>
      </c>
      <c r="I22" s="31" t="n"/>
      <c r="J22" s="12">
        <f>IF(ISNUMBER($A22),$A22+ROW()/100000,"")</f>
        <v/>
      </c>
      <c r="K22" s="12">
        <f>IF(AND(ISNUMBER($J22),$B22&lt;&gt;"",$B22='例_顧客カルテ'!$C$3),$J22,"")</f>
        <v/>
      </c>
    </row>
    <row r="23" ht="30" customHeight="1">
      <c r="A23" s="13" t="n">
        <v>46295</v>
      </c>
      <c r="B23" s="7" t="inlineStr">
        <is>
          <t>C001</t>
        </is>
      </c>
      <c r="C23" s="11">
        <f>IF($B23="","",IFERROR(INDEX('例_顧客一覧'!$C$5:$C$104,MATCH($B23,'例_顧客一覧'!$A$5:$A$104,0))&amp;"","※顧客一覧にないID"))</f>
        <v/>
      </c>
      <c r="D23" s="7" t="inlineStr">
        <is>
          <t>佐藤</t>
        </is>
      </c>
      <c r="E23" s="7" t="inlineStr">
        <is>
          <t>メール</t>
        </is>
      </c>
      <c r="F23" s="14" t="inlineStr">
        <is>
          <t>発注書を受け取った。</t>
        </is>
      </c>
      <c r="G23" s="14" t="inlineStr">
        <is>
          <t>初回の納品日を調整して連絡する</t>
        </is>
      </c>
      <c r="H23" s="13" t="n">
        <v>46300</v>
      </c>
      <c r="I23" s="31" t="n"/>
      <c r="J23" s="12">
        <f>IF(ISNUMBER($A23),$A23+ROW()/100000,"")</f>
        <v/>
      </c>
      <c r="K23" s="12">
        <f>IF(AND(ISNUMBER($J23),$B23&lt;&gt;"",$B23='例_顧客カルテ'!$C$3),$J23,"")</f>
        <v/>
      </c>
    </row>
    <row r="24" ht="30" customHeight="1">
      <c r="A24" s="13" t="n"/>
      <c r="B24" s="7" t="n"/>
      <c r="C24" s="11">
        <f>IF($B24="","",IFERROR(INDEX('例_顧客一覧'!$C$5:$C$104,MATCH($B24,'例_顧客一覧'!$A$5:$A$104,0))&amp;"","※顧客一覧にないID"))</f>
        <v/>
      </c>
      <c r="D24" s="7" t="n"/>
      <c r="E24" s="7" t="n"/>
      <c r="F24" s="14" t="n"/>
      <c r="G24" s="14" t="n"/>
      <c r="H24" s="13" t="n"/>
      <c r="I24" s="31" t="n"/>
      <c r="J24" s="12">
        <f>IF(ISNUMBER($A24),$A24+ROW()/100000,"")</f>
        <v/>
      </c>
      <c r="K24" s="12">
        <f>IF(AND(ISNUMBER($J24),$B24&lt;&gt;"",$B24='例_顧客カルテ'!$C$3),$J24,"")</f>
        <v/>
      </c>
    </row>
    <row r="25" ht="30" customHeight="1">
      <c r="A25" s="13" t="n"/>
      <c r="B25" s="7" t="n"/>
      <c r="C25" s="11">
        <f>IF($B25="","",IFERROR(INDEX('例_顧客一覧'!$C$5:$C$104,MATCH($B25,'例_顧客一覧'!$A$5:$A$104,0))&amp;"","※顧客一覧にないID"))</f>
        <v/>
      </c>
      <c r="D25" s="7" t="n"/>
      <c r="E25" s="7" t="n"/>
      <c r="F25" s="14" t="n"/>
      <c r="G25" s="14" t="n"/>
      <c r="H25" s="13" t="n"/>
      <c r="I25" s="31" t="n"/>
      <c r="J25" s="12">
        <f>IF(ISNUMBER($A25),$A25+ROW()/100000,"")</f>
        <v/>
      </c>
      <c r="K25" s="12">
        <f>IF(AND(ISNUMBER($J25),$B25&lt;&gt;"",$B25='例_顧客カルテ'!$C$3),$J25,"")</f>
        <v/>
      </c>
    </row>
    <row r="26" ht="30" customHeight="1">
      <c r="A26" s="13" t="n"/>
      <c r="B26" s="7" t="n"/>
      <c r="C26" s="11">
        <f>IF($B26="","",IFERROR(INDEX('例_顧客一覧'!$C$5:$C$104,MATCH($B26,'例_顧客一覧'!$A$5:$A$104,0))&amp;"","※顧客一覧にないID"))</f>
        <v/>
      </c>
      <c r="D26" s="7" t="n"/>
      <c r="E26" s="7" t="n"/>
      <c r="F26" s="14" t="n"/>
      <c r="G26" s="14" t="n"/>
      <c r="H26" s="13" t="n"/>
      <c r="I26" s="31" t="n"/>
      <c r="J26" s="12">
        <f>IF(ISNUMBER($A26),$A26+ROW()/100000,"")</f>
        <v/>
      </c>
      <c r="K26" s="12">
        <f>IF(AND(ISNUMBER($J26),$B26&lt;&gt;"",$B26='例_顧客カルテ'!$C$3),$J26,"")</f>
        <v/>
      </c>
    </row>
    <row r="27" ht="30" customHeight="1">
      <c r="A27" s="13" t="n"/>
      <c r="B27" s="7" t="n"/>
      <c r="C27" s="11">
        <f>IF($B27="","",IFERROR(INDEX('例_顧客一覧'!$C$5:$C$104,MATCH($B27,'例_顧客一覧'!$A$5:$A$104,0))&amp;"","※顧客一覧にないID"))</f>
        <v/>
      </c>
      <c r="D27" s="7" t="n"/>
      <c r="E27" s="7" t="n"/>
      <c r="F27" s="14" t="n"/>
      <c r="G27" s="14" t="n"/>
      <c r="H27" s="13" t="n"/>
      <c r="I27" s="31" t="n"/>
      <c r="J27" s="12">
        <f>IF(ISNUMBER($A27),$A27+ROW()/100000,"")</f>
        <v/>
      </c>
      <c r="K27" s="12">
        <f>IF(AND(ISNUMBER($J27),$B27&lt;&gt;"",$B27='例_顧客カルテ'!$C$3),$J27,"")</f>
        <v/>
      </c>
    </row>
    <row r="28" ht="30" customHeight="1">
      <c r="A28" s="13" t="n"/>
      <c r="B28" s="7" t="n"/>
      <c r="C28" s="11">
        <f>IF($B28="","",IFERROR(INDEX('例_顧客一覧'!$C$5:$C$104,MATCH($B28,'例_顧客一覧'!$A$5:$A$104,0))&amp;"","※顧客一覧にないID"))</f>
        <v/>
      </c>
      <c r="D28" s="7" t="n"/>
      <c r="E28" s="7" t="n"/>
      <c r="F28" s="14" t="n"/>
      <c r="G28" s="14" t="n"/>
      <c r="H28" s="13" t="n"/>
      <c r="I28" s="31" t="n"/>
      <c r="J28" s="12">
        <f>IF(ISNUMBER($A28),$A28+ROW()/100000,"")</f>
        <v/>
      </c>
      <c r="K28" s="12">
        <f>IF(AND(ISNUMBER($J28),$B28&lt;&gt;"",$B28='例_顧客カルテ'!$C$3),$J28,"")</f>
        <v/>
      </c>
    </row>
    <row r="29" ht="30" customHeight="1">
      <c r="A29" s="13" t="n"/>
      <c r="B29" s="7" t="n"/>
      <c r="C29" s="11">
        <f>IF($B29="","",IFERROR(INDEX('例_顧客一覧'!$C$5:$C$104,MATCH($B29,'例_顧客一覧'!$A$5:$A$104,0))&amp;"","※顧客一覧にないID"))</f>
        <v/>
      </c>
      <c r="D29" s="7" t="n"/>
      <c r="E29" s="7" t="n"/>
      <c r="F29" s="14" t="n"/>
      <c r="G29" s="14" t="n"/>
      <c r="H29" s="13" t="n"/>
      <c r="I29" s="31" t="n"/>
      <c r="J29" s="12">
        <f>IF(ISNUMBER($A29),$A29+ROW()/100000,"")</f>
        <v/>
      </c>
      <c r="K29" s="12">
        <f>IF(AND(ISNUMBER($J29),$B29&lt;&gt;"",$B29='例_顧客カルテ'!$C$3),$J29,"")</f>
        <v/>
      </c>
    </row>
    <row r="30" ht="30" customHeight="1">
      <c r="A30" s="13" t="n"/>
      <c r="B30" s="7" t="n"/>
      <c r="C30" s="11">
        <f>IF($B30="","",IFERROR(INDEX('例_顧客一覧'!$C$5:$C$104,MATCH($B30,'例_顧客一覧'!$A$5:$A$104,0))&amp;"","※顧客一覧にないID"))</f>
        <v/>
      </c>
      <c r="D30" s="7" t="n"/>
      <c r="E30" s="7" t="n"/>
      <c r="F30" s="14" t="n"/>
      <c r="G30" s="14" t="n"/>
      <c r="H30" s="13" t="n"/>
      <c r="I30" s="31" t="n"/>
      <c r="J30" s="12">
        <f>IF(ISNUMBER($A30),$A30+ROW()/100000,"")</f>
        <v/>
      </c>
      <c r="K30" s="12">
        <f>IF(AND(ISNUMBER($J30),$B30&lt;&gt;"",$B30='例_顧客カルテ'!$C$3),$J30,"")</f>
        <v/>
      </c>
    </row>
    <row r="31" ht="30" customHeight="1">
      <c r="A31" s="13" t="n"/>
      <c r="B31" s="7" t="n"/>
      <c r="C31" s="11">
        <f>IF($B31="","",IFERROR(INDEX('例_顧客一覧'!$C$5:$C$104,MATCH($B31,'例_顧客一覧'!$A$5:$A$104,0))&amp;"","※顧客一覧にないID"))</f>
        <v/>
      </c>
      <c r="D31" s="7" t="n"/>
      <c r="E31" s="7" t="n"/>
      <c r="F31" s="14" t="n"/>
      <c r="G31" s="14" t="n"/>
      <c r="H31" s="13" t="n"/>
      <c r="I31" s="31" t="n"/>
      <c r="J31" s="12">
        <f>IF(ISNUMBER($A31),$A31+ROW()/100000,"")</f>
        <v/>
      </c>
      <c r="K31" s="12">
        <f>IF(AND(ISNUMBER($J31),$B31&lt;&gt;"",$B31='例_顧客カルテ'!$C$3),$J31,"")</f>
        <v/>
      </c>
    </row>
    <row r="32" ht="30" customHeight="1">
      <c r="A32" s="13" t="n"/>
      <c r="B32" s="7" t="n"/>
      <c r="C32" s="11">
        <f>IF($B32="","",IFERROR(INDEX('例_顧客一覧'!$C$5:$C$104,MATCH($B32,'例_顧客一覧'!$A$5:$A$104,0))&amp;"","※顧客一覧にないID"))</f>
        <v/>
      </c>
      <c r="D32" s="7" t="n"/>
      <c r="E32" s="7" t="n"/>
      <c r="F32" s="14" t="n"/>
      <c r="G32" s="14" t="n"/>
      <c r="H32" s="13" t="n"/>
      <c r="I32" s="31" t="n"/>
      <c r="J32" s="12">
        <f>IF(ISNUMBER($A32),$A32+ROW()/100000,"")</f>
        <v/>
      </c>
      <c r="K32" s="12">
        <f>IF(AND(ISNUMBER($J32),$B32&lt;&gt;"",$B32='例_顧客カルテ'!$C$3),$J32,"")</f>
        <v/>
      </c>
    </row>
    <row r="33" ht="30" customHeight="1">
      <c r="A33" s="13" t="n"/>
      <c r="B33" s="7" t="n"/>
      <c r="C33" s="11">
        <f>IF($B33="","",IFERROR(INDEX('例_顧客一覧'!$C$5:$C$104,MATCH($B33,'例_顧客一覧'!$A$5:$A$104,0))&amp;"","※顧客一覧にないID"))</f>
        <v/>
      </c>
      <c r="D33" s="7" t="n"/>
      <c r="E33" s="7" t="n"/>
      <c r="F33" s="14" t="n"/>
      <c r="G33" s="14" t="n"/>
      <c r="H33" s="13" t="n"/>
      <c r="I33" s="31" t="n"/>
      <c r="J33" s="12">
        <f>IF(ISNUMBER($A33),$A33+ROW()/100000,"")</f>
        <v/>
      </c>
      <c r="K33" s="12">
        <f>IF(AND(ISNUMBER($J33),$B33&lt;&gt;"",$B33='例_顧客カルテ'!$C$3),$J33,"")</f>
        <v/>
      </c>
    </row>
    <row r="34" ht="30" customHeight="1">
      <c r="A34" s="13" t="n"/>
      <c r="B34" s="7" t="n"/>
      <c r="C34" s="11">
        <f>IF($B34="","",IFERROR(INDEX('例_顧客一覧'!$C$5:$C$104,MATCH($B34,'例_顧客一覧'!$A$5:$A$104,0))&amp;"","※顧客一覧にないID"))</f>
        <v/>
      </c>
      <c r="D34" s="7" t="n"/>
      <c r="E34" s="7" t="n"/>
      <c r="F34" s="14" t="n"/>
      <c r="G34" s="14" t="n"/>
      <c r="H34" s="13" t="n"/>
      <c r="I34" s="31" t="n"/>
      <c r="J34" s="12">
        <f>IF(ISNUMBER($A34),$A34+ROW()/100000,"")</f>
        <v/>
      </c>
      <c r="K34" s="12">
        <f>IF(AND(ISNUMBER($J34),$B34&lt;&gt;"",$B34='例_顧客カルテ'!$C$3),$J34,"")</f>
        <v/>
      </c>
    </row>
    <row r="35" ht="30" customHeight="1">
      <c r="A35" s="13" t="n"/>
      <c r="B35" s="7" t="n"/>
      <c r="C35" s="11">
        <f>IF($B35="","",IFERROR(INDEX('例_顧客一覧'!$C$5:$C$104,MATCH($B35,'例_顧客一覧'!$A$5:$A$104,0))&amp;"","※顧客一覧にないID"))</f>
        <v/>
      </c>
      <c r="D35" s="7" t="n"/>
      <c r="E35" s="7" t="n"/>
      <c r="F35" s="14" t="n"/>
      <c r="G35" s="14" t="n"/>
      <c r="H35" s="13" t="n"/>
      <c r="I35" s="31" t="n"/>
      <c r="J35" s="12">
        <f>IF(ISNUMBER($A35),$A35+ROW()/100000,"")</f>
        <v/>
      </c>
      <c r="K35" s="12">
        <f>IF(AND(ISNUMBER($J35),$B35&lt;&gt;"",$B35='例_顧客カルテ'!$C$3),$J35,"")</f>
        <v/>
      </c>
    </row>
    <row r="36" ht="30" customHeight="1">
      <c r="A36" s="13" t="n"/>
      <c r="B36" s="7" t="n"/>
      <c r="C36" s="11">
        <f>IF($B36="","",IFERROR(INDEX('例_顧客一覧'!$C$5:$C$104,MATCH($B36,'例_顧客一覧'!$A$5:$A$104,0))&amp;"","※顧客一覧にないID"))</f>
        <v/>
      </c>
      <c r="D36" s="7" t="n"/>
      <c r="E36" s="7" t="n"/>
      <c r="F36" s="14" t="n"/>
      <c r="G36" s="14" t="n"/>
      <c r="H36" s="13" t="n"/>
      <c r="I36" s="31" t="n"/>
      <c r="J36" s="12">
        <f>IF(ISNUMBER($A36),$A36+ROW()/100000,"")</f>
        <v/>
      </c>
      <c r="K36" s="12">
        <f>IF(AND(ISNUMBER($J36),$B36&lt;&gt;"",$B36='例_顧客カルテ'!$C$3),$J36,"")</f>
        <v/>
      </c>
    </row>
    <row r="37" ht="30" customHeight="1">
      <c r="A37" s="13" t="n"/>
      <c r="B37" s="7" t="n"/>
      <c r="C37" s="11">
        <f>IF($B37="","",IFERROR(INDEX('例_顧客一覧'!$C$5:$C$104,MATCH($B37,'例_顧客一覧'!$A$5:$A$104,0))&amp;"","※顧客一覧にないID"))</f>
        <v/>
      </c>
      <c r="D37" s="7" t="n"/>
      <c r="E37" s="7" t="n"/>
      <c r="F37" s="14" t="n"/>
      <c r="G37" s="14" t="n"/>
      <c r="H37" s="13" t="n"/>
      <c r="I37" s="31" t="n"/>
      <c r="J37" s="12">
        <f>IF(ISNUMBER($A37),$A37+ROW()/100000,"")</f>
        <v/>
      </c>
      <c r="K37" s="12">
        <f>IF(AND(ISNUMBER($J37),$B37&lt;&gt;"",$B37='例_顧客カルテ'!$C$3),$J37,"")</f>
        <v/>
      </c>
    </row>
    <row r="38" ht="30" customHeight="1">
      <c r="A38" s="13" t="n"/>
      <c r="B38" s="7" t="n"/>
      <c r="C38" s="11">
        <f>IF($B38="","",IFERROR(INDEX('例_顧客一覧'!$C$5:$C$104,MATCH($B38,'例_顧客一覧'!$A$5:$A$104,0))&amp;"","※顧客一覧にないID"))</f>
        <v/>
      </c>
      <c r="D38" s="7" t="n"/>
      <c r="E38" s="7" t="n"/>
      <c r="F38" s="14" t="n"/>
      <c r="G38" s="14" t="n"/>
      <c r="H38" s="13" t="n"/>
      <c r="I38" s="31" t="n"/>
      <c r="J38" s="12">
        <f>IF(ISNUMBER($A38),$A38+ROW()/100000,"")</f>
        <v/>
      </c>
      <c r="K38" s="12">
        <f>IF(AND(ISNUMBER($J38),$B38&lt;&gt;"",$B38='例_顧客カルテ'!$C$3),$J38,"")</f>
        <v/>
      </c>
    </row>
    <row r="39" ht="30" customHeight="1">
      <c r="A39" s="13" t="n"/>
      <c r="B39" s="7" t="n"/>
      <c r="C39" s="11">
        <f>IF($B39="","",IFERROR(INDEX('例_顧客一覧'!$C$5:$C$104,MATCH($B39,'例_顧客一覧'!$A$5:$A$104,0))&amp;"","※顧客一覧にないID"))</f>
        <v/>
      </c>
      <c r="D39" s="7" t="n"/>
      <c r="E39" s="7" t="n"/>
      <c r="F39" s="14" t="n"/>
      <c r="G39" s="14" t="n"/>
      <c r="H39" s="13" t="n"/>
      <c r="I39" s="31" t="n"/>
      <c r="J39" s="12">
        <f>IF(ISNUMBER($A39),$A39+ROW()/100000,"")</f>
        <v/>
      </c>
      <c r="K39" s="12">
        <f>IF(AND(ISNUMBER($J39),$B39&lt;&gt;"",$B39='例_顧客カルテ'!$C$3),$J39,"")</f>
        <v/>
      </c>
    </row>
    <row r="40" ht="30" customHeight="1">
      <c r="A40" s="13" t="n"/>
      <c r="B40" s="7" t="n"/>
      <c r="C40" s="11">
        <f>IF($B40="","",IFERROR(INDEX('例_顧客一覧'!$C$5:$C$104,MATCH($B40,'例_顧客一覧'!$A$5:$A$104,0))&amp;"","※顧客一覧にないID"))</f>
        <v/>
      </c>
      <c r="D40" s="7" t="n"/>
      <c r="E40" s="7" t="n"/>
      <c r="F40" s="14" t="n"/>
      <c r="G40" s="14" t="n"/>
      <c r="H40" s="13" t="n"/>
      <c r="I40" s="31" t="n"/>
      <c r="J40" s="12">
        <f>IF(ISNUMBER($A40),$A40+ROW()/100000,"")</f>
        <v/>
      </c>
      <c r="K40" s="12">
        <f>IF(AND(ISNUMBER($J40),$B40&lt;&gt;"",$B40='例_顧客カルテ'!$C$3),$J40,"")</f>
        <v/>
      </c>
    </row>
    <row r="41" ht="30" customHeight="1">
      <c r="A41" s="13" t="n"/>
      <c r="B41" s="7" t="n"/>
      <c r="C41" s="11">
        <f>IF($B41="","",IFERROR(INDEX('例_顧客一覧'!$C$5:$C$104,MATCH($B41,'例_顧客一覧'!$A$5:$A$104,0))&amp;"","※顧客一覧にないID"))</f>
        <v/>
      </c>
      <c r="D41" s="7" t="n"/>
      <c r="E41" s="7" t="n"/>
      <c r="F41" s="14" t="n"/>
      <c r="G41" s="14" t="n"/>
      <c r="H41" s="13" t="n"/>
      <c r="I41" s="31" t="n"/>
      <c r="J41" s="12">
        <f>IF(ISNUMBER($A41),$A41+ROW()/100000,"")</f>
        <v/>
      </c>
      <c r="K41" s="12">
        <f>IF(AND(ISNUMBER($J41),$B41&lt;&gt;"",$B41='例_顧客カルテ'!$C$3),$J41,"")</f>
        <v/>
      </c>
    </row>
    <row r="42" ht="30" customHeight="1">
      <c r="A42" s="13" t="n"/>
      <c r="B42" s="7" t="n"/>
      <c r="C42" s="11">
        <f>IF($B42="","",IFERROR(INDEX('例_顧客一覧'!$C$5:$C$104,MATCH($B42,'例_顧客一覧'!$A$5:$A$104,0))&amp;"","※顧客一覧にないID"))</f>
        <v/>
      </c>
      <c r="D42" s="7" t="n"/>
      <c r="E42" s="7" t="n"/>
      <c r="F42" s="14" t="n"/>
      <c r="G42" s="14" t="n"/>
      <c r="H42" s="13" t="n"/>
      <c r="I42" s="31" t="n"/>
      <c r="J42" s="12">
        <f>IF(ISNUMBER($A42),$A42+ROW()/100000,"")</f>
        <v/>
      </c>
      <c r="K42" s="12">
        <f>IF(AND(ISNUMBER($J42),$B42&lt;&gt;"",$B42='例_顧客カルテ'!$C$3),$J42,"")</f>
        <v/>
      </c>
    </row>
    <row r="43" ht="30" customHeight="1">
      <c r="A43" s="13" t="n"/>
      <c r="B43" s="7" t="n"/>
      <c r="C43" s="11">
        <f>IF($B43="","",IFERROR(INDEX('例_顧客一覧'!$C$5:$C$104,MATCH($B43,'例_顧客一覧'!$A$5:$A$104,0))&amp;"","※顧客一覧にないID"))</f>
        <v/>
      </c>
      <c r="D43" s="7" t="n"/>
      <c r="E43" s="7" t="n"/>
      <c r="F43" s="14" t="n"/>
      <c r="G43" s="14" t="n"/>
      <c r="H43" s="13" t="n"/>
      <c r="I43" s="31" t="n"/>
      <c r="J43" s="12">
        <f>IF(ISNUMBER($A43),$A43+ROW()/100000,"")</f>
        <v/>
      </c>
      <c r="K43" s="12">
        <f>IF(AND(ISNUMBER($J43),$B43&lt;&gt;"",$B43='例_顧客カルテ'!$C$3),$J43,"")</f>
        <v/>
      </c>
    </row>
    <row r="44" ht="30" customHeight="1">
      <c r="A44" s="13" t="n"/>
      <c r="B44" s="7" t="n"/>
      <c r="C44" s="11">
        <f>IF($B44="","",IFERROR(INDEX('例_顧客一覧'!$C$5:$C$104,MATCH($B44,'例_顧客一覧'!$A$5:$A$104,0))&amp;"","※顧客一覧にないID"))</f>
        <v/>
      </c>
      <c r="D44" s="7" t="n"/>
      <c r="E44" s="7" t="n"/>
      <c r="F44" s="14" t="n"/>
      <c r="G44" s="14" t="n"/>
      <c r="H44" s="13" t="n"/>
      <c r="I44" s="31" t="n"/>
      <c r="J44" s="12">
        <f>IF(ISNUMBER($A44),$A44+ROW()/100000,"")</f>
        <v/>
      </c>
      <c r="K44" s="12">
        <f>IF(AND(ISNUMBER($J44),$B44&lt;&gt;"",$B44='例_顧客カルテ'!$C$3),$J44,"")</f>
        <v/>
      </c>
    </row>
    <row r="45" ht="30" customHeight="1">
      <c r="A45" s="13" t="n"/>
      <c r="B45" s="7" t="n"/>
      <c r="C45" s="11">
        <f>IF($B45="","",IFERROR(INDEX('例_顧客一覧'!$C$5:$C$104,MATCH($B45,'例_顧客一覧'!$A$5:$A$104,0))&amp;"","※顧客一覧にないID"))</f>
        <v/>
      </c>
      <c r="D45" s="7" t="n"/>
      <c r="E45" s="7" t="n"/>
      <c r="F45" s="14" t="n"/>
      <c r="G45" s="14" t="n"/>
      <c r="H45" s="13" t="n"/>
      <c r="I45" s="31" t="n"/>
      <c r="J45" s="12">
        <f>IF(ISNUMBER($A45),$A45+ROW()/100000,"")</f>
        <v/>
      </c>
      <c r="K45" s="12">
        <f>IF(AND(ISNUMBER($J45),$B45&lt;&gt;"",$B45='例_顧客カルテ'!$C$3),$J45,"")</f>
        <v/>
      </c>
    </row>
    <row r="46" ht="30" customHeight="1">
      <c r="A46" s="13" t="n"/>
      <c r="B46" s="7" t="n"/>
      <c r="C46" s="11">
        <f>IF($B46="","",IFERROR(INDEX('例_顧客一覧'!$C$5:$C$104,MATCH($B46,'例_顧客一覧'!$A$5:$A$104,0))&amp;"","※顧客一覧にないID"))</f>
        <v/>
      </c>
      <c r="D46" s="7" t="n"/>
      <c r="E46" s="7" t="n"/>
      <c r="F46" s="14" t="n"/>
      <c r="G46" s="14" t="n"/>
      <c r="H46" s="13" t="n"/>
      <c r="I46" s="31" t="n"/>
      <c r="J46" s="12">
        <f>IF(ISNUMBER($A46),$A46+ROW()/100000,"")</f>
        <v/>
      </c>
      <c r="K46" s="12">
        <f>IF(AND(ISNUMBER($J46),$B46&lt;&gt;"",$B46='例_顧客カルテ'!$C$3),$J46,"")</f>
        <v/>
      </c>
    </row>
    <row r="47" ht="30" customHeight="1">
      <c r="A47" s="13" t="n"/>
      <c r="B47" s="7" t="n"/>
      <c r="C47" s="11">
        <f>IF($B47="","",IFERROR(INDEX('例_顧客一覧'!$C$5:$C$104,MATCH($B47,'例_顧客一覧'!$A$5:$A$104,0))&amp;"","※顧客一覧にないID"))</f>
        <v/>
      </c>
      <c r="D47" s="7" t="n"/>
      <c r="E47" s="7" t="n"/>
      <c r="F47" s="14" t="n"/>
      <c r="G47" s="14" t="n"/>
      <c r="H47" s="13" t="n"/>
      <c r="I47" s="31" t="n"/>
      <c r="J47" s="12">
        <f>IF(ISNUMBER($A47),$A47+ROW()/100000,"")</f>
        <v/>
      </c>
      <c r="K47" s="12">
        <f>IF(AND(ISNUMBER($J47),$B47&lt;&gt;"",$B47='例_顧客カルテ'!$C$3),$J47,"")</f>
        <v/>
      </c>
    </row>
    <row r="48" ht="30" customHeight="1">
      <c r="A48" s="13" t="n"/>
      <c r="B48" s="7" t="n"/>
      <c r="C48" s="11">
        <f>IF($B48="","",IFERROR(INDEX('例_顧客一覧'!$C$5:$C$104,MATCH($B48,'例_顧客一覧'!$A$5:$A$104,0))&amp;"","※顧客一覧にないID"))</f>
        <v/>
      </c>
      <c r="D48" s="7" t="n"/>
      <c r="E48" s="7" t="n"/>
      <c r="F48" s="14" t="n"/>
      <c r="G48" s="14" t="n"/>
      <c r="H48" s="13" t="n"/>
      <c r="I48" s="31" t="n"/>
      <c r="J48" s="12">
        <f>IF(ISNUMBER($A48),$A48+ROW()/100000,"")</f>
        <v/>
      </c>
      <c r="K48" s="12">
        <f>IF(AND(ISNUMBER($J48),$B48&lt;&gt;"",$B48='例_顧客カルテ'!$C$3),$J48,"")</f>
        <v/>
      </c>
    </row>
    <row r="49" ht="30" customHeight="1">
      <c r="A49" s="13" t="n"/>
      <c r="B49" s="7" t="n"/>
      <c r="C49" s="11">
        <f>IF($B49="","",IFERROR(INDEX('例_顧客一覧'!$C$5:$C$104,MATCH($B49,'例_顧客一覧'!$A$5:$A$104,0))&amp;"","※顧客一覧にないID"))</f>
        <v/>
      </c>
      <c r="D49" s="7" t="n"/>
      <c r="E49" s="7" t="n"/>
      <c r="F49" s="14" t="n"/>
      <c r="G49" s="14" t="n"/>
      <c r="H49" s="13" t="n"/>
      <c r="I49" s="31" t="n"/>
      <c r="J49" s="12">
        <f>IF(ISNUMBER($A49),$A49+ROW()/100000,"")</f>
        <v/>
      </c>
      <c r="K49" s="12">
        <f>IF(AND(ISNUMBER($J49),$B49&lt;&gt;"",$B49='例_顧客カルテ'!$C$3),$J49,"")</f>
        <v/>
      </c>
    </row>
    <row r="50" ht="30" customHeight="1">
      <c r="A50" s="13" t="n"/>
      <c r="B50" s="7" t="n"/>
      <c r="C50" s="11">
        <f>IF($B50="","",IFERROR(INDEX('例_顧客一覧'!$C$5:$C$104,MATCH($B50,'例_顧客一覧'!$A$5:$A$104,0))&amp;"","※顧客一覧にないID"))</f>
        <v/>
      </c>
      <c r="D50" s="7" t="n"/>
      <c r="E50" s="7" t="n"/>
      <c r="F50" s="14" t="n"/>
      <c r="G50" s="14" t="n"/>
      <c r="H50" s="13" t="n"/>
      <c r="I50" s="31" t="n"/>
      <c r="J50" s="12">
        <f>IF(ISNUMBER($A50),$A50+ROW()/100000,"")</f>
        <v/>
      </c>
      <c r="K50" s="12">
        <f>IF(AND(ISNUMBER($J50),$B50&lt;&gt;"",$B50='例_顧客カルテ'!$C$3),$J50,"")</f>
        <v/>
      </c>
    </row>
    <row r="51" ht="30" customHeight="1">
      <c r="A51" s="13" t="n"/>
      <c r="B51" s="7" t="n"/>
      <c r="C51" s="11">
        <f>IF($B51="","",IFERROR(INDEX('例_顧客一覧'!$C$5:$C$104,MATCH($B51,'例_顧客一覧'!$A$5:$A$104,0))&amp;"","※顧客一覧にないID"))</f>
        <v/>
      </c>
      <c r="D51" s="7" t="n"/>
      <c r="E51" s="7" t="n"/>
      <c r="F51" s="14" t="n"/>
      <c r="G51" s="14" t="n"/>
      <c r="H51" s="13" t="n"/>
      <c r="I51" s="31" t="n"/>
      <c r="J51" s="12">
        <f>IF(ISNUMBER($A51),$A51+ROW()/100000,"")</f>
        <v/>
      </c>
      <c r="K51" s="12">
        <f>IF(AND(ISNUMBER($J51),$B51&lt;&gt;"",$B51='例_顧客カルテ'!$C$3),$J51,"")</f>
        <v/>
      </c>
    </row>
    <row r="52" ht="30" customHeight="1">
      <c r="A52" s="13" t="n"/>
      <c r="B52" s="7" t="n"/>
      <c r="C52" s="11">
        <f>IF($B52="","",IFERROR(INDEX('例_顧客一覧'!$C$5:$C$104,MATCH($B52,'例_顧客一覧'!$A$5:$A$104,0))&amp;"","※顧客一覧にないID"))</f>
        <v/>
      </c>
      <c r="D52" s="7" t="n"/>
      <c r="E52" s="7" t="n"/>
      <c r="F52" s="14" t="n"/>
      <c r="G52" s="14" t="n"/>
      <c r="H52" s="13" t="n"/>
      <c r="I52" s="31" t="n"/>
      <c r="J52" s="12">
        <f>IF(ISNUMBER($A52),$A52+ROW()/100000,"")</f>
        <v/>
      </c>
      <c r="K52" s="12">
        <f>IF(AND(ISNUMBER($J52),$B52&lt;&gt;"",$B52='例_顧客カルテ'!$C$3),$J52,"")</f>
        <v/>
      </c>
    </row>
    <row r="53" ht="30" customHeight="1">
      <c r="A53" s="13" t="n"/>
      <c r="B53" s="7" t="n"/>
      <c r="C53" s="11">
        <f>IF($B53="","",IFERROR(INDEX('例_顧客一覧'!$C$5:$C$104,MATCH($B53,'例_顧客一覧'!$A$5:$A$104,0))&amp;"","※顧客一覧にないID"))</f>
        <v/>
      </c>
      <c r="D53" s="7" t="n"/>
      <c r="E53" s="7" t="n"/>
      <c r="F53" s="14" t="n"/>
      <c r="G53" s="14" t="n"/>
      <c r="H53" s="13" t="n"/>
      <c r="I53" s="31" t="n"/>
      <c r="J53" s="12">
        <f>IF(ISNUMBER($A53),$A53+ROW()/100000,"")</f>
        <v/>
      </c>
      <c r="K53" s="12">
        <f>IF(AND(ISNUMBER($J53),$B53&lt;&gt;"",$B53='例_顧客カルテ'!$C$3),$J53,"")</f>
        <v/>
      </c>
    </row>
    <row r="54" ht="30" customHeight="1">
      <c r="A54" s="13" t="n"/>
      <c r="B54" s="7" t="n"/>
      <c r="C54" s="11">
        <f>IF($B54="","",IFERROR(INDEX('例_顧客一覧'!$C$5:$C$104,MATCH($B54,'例_顧客一覧'!$A$5:$A$104,0))&amp;"","※顧客一覧にないID"))</f>
        <v/>
      </c>
      <c r="D54" s="7" t="n"/>
      <c r="E54" s="7" t="n"/>
      <c r="F54" s="14" t="n"/>
      <c r="G54" s="14" t="n"/>
      <c r="H54" s="13" t="n"/>
      <c r="I54" s="31" t="n"/>
      <c r="J54" s="12">
        <f>IF(ISNUMBER($A54),$A54+ROW()/100000,"")</f>
        <v/>
      </c>
      <c r="K54" s="12">
        <f>IF(AND(ISNUMBER($J54),$B54&lt;&gt;"",$B54='例_顧客カルテ'!$C$3),$J54,"")</f>
        <v/>
      </c>
    </row>
    <row r="55" ht="30" customHeight="1">
      <c r="A55" s="13" t="n"/>
      <c r="B55" s="7" t="n"/>
      <c r="C55" s="11">
        <f>IF($B55="","",IFERROR(INDEX('例_顧客一覧'!$C$5:$C$104,MATCH($B55,'例_顧客一覧'!$A$5:$A$104,0))&amp;"","※顧客一覧にないID"))</f>
        <v/>
      </c>
      <c r="D55" s="7" t="n"/>
      <c r="E55" s="7" t="n"/>
      <c r="F55" s="14" t="n"/>
      <c r="G55" s="14" t="n"/>
      <c r="H55" s="13" t="n"/>
      <c r="I55" s="31" t="n"/>
      <c r="J55" s="12">
        <f>IF(ISNUMBER($A55),$A55+ROW()/100000,"")</f>
        <v/>
      </c>
      <c r="K55" s="12">
        <f>IF(AND(ISNUMBER($J55),$B55&lt;&gt;"",$B55='例_顧客カルテ'!$C$3),$J55,"")</f>
        <v/>
      </c>
    </row>
    <row r="56" ht="30" customHeight="1">
      <c r="A56" s="13" t="n"/>
      <c r="B56" s="7" t="n"/>
      <c r="C56" s="11">
        <f>IF($B56="","",IFERROR(INDEX('例_顧客一覧'!$C$5:$C$104,MATCH($B56,'例_顧客一覧'!$A$5:$A$104,0))&amp;"","※顧客一覧にないID"))</f>
        <v/>
      </c>
      <c r="D56" s="7" t="n"/>
      <c r="E56" s="7" t="n"/>
      <c r="F56" s="14" t="n"/>
      <c r="G56" s="14" t="n"/>
      <c r="H56" s="13" t="n"/>
      <c r="I56" s="31" t="n"/>
      <c r="J56" s="12">
        <f>IF(ISNUMBER($A56),$A56+ROW()/100000,"")</f>
        <v/>
      </c>
      <c r="K56" s="12">
        <f>IF(AND(ISNUMBER($J56),$B56&lt;&gt;"",$B56='例_顧客カルテ'!$C$3),$J56,"")</f>
        <v/>
      </c>
    </row>
    <row r="57" ht="30" customHeight="1">
      <c r="A57" s="13" t="n"/>
      <c r="B57" s="7" t="n"/>
      <c r="C57" s="11">
        <f>IF($B57="","",IFERROR(INDEX('例_顧客一覧'!$C$5:$C$104,MATCH($B57,'例_顧客一覧'!$A$5:$A$104,0))&amp;"","※顧客一覧にないID"))</f>
        <v/>
      </c>
      <c r="D57" s="7" t="n"/>
      <c r="E57" s="7" t="n"/>
      <c r="F57" s="14" t="n"/>
      <c r="G57" s="14" t="n"/>
      <c r="H57" s="13" t="n"/>
      <c r="I57" s="31" t="n"/>
      <c r="J57" s="12">
        <f>IF(ISNUMBER($A57),$A57+ROW()/100000,"")</f>
        <v/>
      </c>
      <c r="K57" s="12">
        <f>IF(AND(ISNUMBER($J57),$B57&lt;&gt;"",$B57='例_顧客カルテ'!$C$3),$J57,"")</f>
        <v/>
      </c>
    </row>
    <row r="58" ht="30" customHeight="1">
      <c r="A58" s="13" t="n"/>
      <c r="B58" s="7" t="n"/>
      <c r="C58" s="11">
        <f>IF($B58="","",IFERROR(INDEX('例_顧客一覧'!$C$5:$C$104,MATCH($B58,'例_顧客一覧'!$A$5:$A$104,0))&amp;"","※顧客一覧にないID"))</f>
        <v/>
      </c>
      <c r="D58" s="7" t="n"/>
      <c r="E58" s="7" t="n"/>
      <c r="F58" s="14" t="n"/>
      <c r="G58" s="14" t="n"/>
      <c r="H58" s="13" t="n"/>
      <c r="I58" s="31" t="n"/>
      <c r="J58" s="12">
        <f>IF(ISNUMBER($A58),$A58+ROW()/100000,"")</f>
        <v/>
      </c>
      <c r="K58" s="12">
        <f>IF(AND(ISNUMBER($J58),$B58&lt;&gt;"",$B58='例_顧客カルテ'!$C$3),$J58,"")</f>
        <v/>
      </c>
    </row>
    <row r="59" ht="30" customHeight="1">
      <c r="A59" s="13" t="n"/>
      <c r="B59" s="7" t="n"/>
      <c r="C59" s="11">
        <f>IF($B59="","",IFERROR(INDEX('例_顧客一覧'!$C$5:$C$104,MATCH($B59,'例_顧客一覧'!$A$5:$A$104,0))&amp;"","※顧客一覧にないID"))</f>
        <v/>
      </c>
      <c r="D59" s="7" t="n"/>
      <c r="E59" s="7" t="n"/>
      <c r="F59" s="14" t="n"/>
      <c r="G59" s="14" t="n"/>
      <c r="H59" s="13" t="n"/>
      <c r="I59" s="31" t="n"/>
      <c r="J59" s="12">
        <f>IF(ISNUMBER($A59),$A59+ROW()/100000,"")</f>
        <v/>
      </c>
      <c r="K59" s="12">
        <f>IF(AND(ISNUMBER($J59),$B59&lt;&gt;"",$B59='例_顧客カルテ'!$C$3),$J59,"")</f>
        <v/>
      </c>
    </row>
    <row r="60" ht="30" customHeight="1">
      <c r="A60" s="13" t="n"/>
      <c r="B60" s="7" t="n"/>
      <c r="C60" s="11">
        <f>IF($B60="","",IFERROR(INDEX('例_顧客一覧'!$C$5:$C$104,MATCH($B60,'例_顧客一覧'!$A$5:$A$104,0))&amp;"","※顧客一覧にないID"))</f>
        <v/>
      </c>
      <c r="D60" s="7" t="n"/>
      <c r="E60" s="7" t="n"/>
      <c r="F60" s="14" t="n"/>
      <c r="G60" s="14" t="n"/>
      <c r="H60" s="13" t="n"/>
      <c r="I60" s="31" t="n"/>
      <c r="J60" s="12">
        <f>IF(ISNUMBER($A60),$A60+ROW()/100000,"")</f>
        <v/>
      </c>
      <c r="K60" s="12">
        <f>IF(AND(ISNUMBER($J60),$B60&lt;&gt;"",$B60='例_顧客カルテ'!$C$3),$J60,"")</f>
        <v/>
      </c>
    </row>
    <row r="61" ht="30" customHeight="1">
      <c r="A61" s="13" t="n"/>
      <c r="B61" s="7" t="n"/>
      <c r="C61" s="11">
        <f>IF($B61="","",IFERROR(INDEX('例_顧客一覧'!$C$5:$C$104,MATCH($B61,'例_顧客一覧'!$A$5:$A$104,0))&amp;"","※顧客一覧にないID"))</f>
        <v/>
      </c>
      <c r="D61" s="7" t="n"/>
      <c r="E61" s="7" t="n"/>
      <c r="F61" s="14" t="n"/>
      <c r="G61" s="14" t="n"/>
      <c r="H61" s="13" t="n"/>
      <c r="I61" s="31" t="n"/>
      <c r="J61" s="12">
        <f>IF(ISNUMBER($A61),$A61+ROW()/100000,"")</f>
        <v/>
      </c>
      <c r="K61" s="12">
        <f>IF(AND(ISNUMBER($J61),$B61&lt;&gt;"",$B61='例_顧客カルテ'!$C$3),$J61,"")</f>
        <v/>
      </c>
    </row>
    <row r="62" ht="30" customHeight="1">
      <c r="A62" s="13" t="n"/>
      <c r="B62" s="7" t="n"/>
      <c r="C62" s="11">
        <f>IF($B62="","",IFERROR(INDEX('例_顧客一覧'!$C$5:$C$104,MATCH($B62,'例_顧客一覧'!$A$5:$A$104,0))&amp;"","※顧客一覧にないID"))</f>
        <v/>
      </c>
      <c r="D62" s="7" t="n"/>
      <c r="E62" s="7" t="n"/>
      <c r="F62" s="14" t="n"/>
      <c r="G62" s="14" t="n"/>
      <c r="H62" s="13" t="n"/>
      <c r="I62" s="31" t="n"/>
      <c r="J62" s="12">
        <f>IF(ISNUMBER($A62),$A62+ROW()/100000,"")</f>
        <v/>
      </c>
      <c r="K62" s="12">
        <f>IF(AND(ISNUMBER($J62),$B62&lt;&gt;"",$B62='例_顧客カルテ'!$C$3),$J62,"")</f>
        <v/>
      </c>
    </row>
    <row r="63" ht="30" customHeight="1">
      <c r="A63" s="13" t="n"/>
      <c r="B63" s="7" t="n"/>
      <c r="C63" s="11">
        <f>IF($B63="","",IFERROR(INDEX('例_顧客一覧'!$C$5:$C$104,MATCH($B63,'例_顧客一覧'!$A$5:$A$104,0))&amp;"","※顧客一覧にないID"))</f>
        <v/>
      </c>
      <c r="D63" s="7" t="n"/>
      <c r="E63" s="7" t="n"/>
      <c r="F63" s="14" t="n"/>
      <c r="G63" s="14" t="n"/>
      <c r="H63" s="13" t="n"/>
      <c r="I63" s="31" t="n"/>
      <c r="J63" s="12">
        <f>IF(ISNUMBER($A63),$A63+ROW()/100000,"")</f>
        <v/>
      </c>
      <c r="K63" s="12">
        <f>IF(AND(ISNUMBER($J63),$B63&lt;&gt;"",$B63='例_顧客カルテ'!$C$3),$J63,"")</f>
        <v/>
      </c>
    </row>
    <row r="64" ht="30" customHeight="1">
      <c r="A64" s="13" t="n"/>
      <c r="B64" s="7" t="n"/>
      <c r="C64" s="11">
        <f>IF($B64="","",IFERROR(INDEX('例_顧客一覧'!$C$5:$C$104,MATCH($B64,'例_顧客一覧'!$A$5:$A$104,0))&amp;"","※顧客一覧にないID"))</f>
        <v/>
      </c>
      <c r="D64" s="7" t="n"/>
      <c r="E64" s="7" t="n"/>
      <c r="F64" s="14" t="n"/>
      <c r="G64" s="14" t="n"/>
      <c r="H64" s="13" t="n"/>
      <c r="I64" s="31" t="n"/>
      <c r="J64" s="12">
        <f>IF(ISNUMBER($A64),$A64+ROW()/100000,"")</f>
        <v/>
      </c>
      <c r="K64" s="12">
        <f>IF(AND(ISNUMBER($J64),$B64&lt;&gt;"",$B64='例_顧客カルテ'!$C$3),$J64,"")</f>
        <v/>
      </c>
    </row>
    <row r="65" ht="30" customHeight="1">
      <c r="A65" s="13" t="n"/>
      <c r="B65" s="7" t="n"/>
      <c r="C65" s="11">
        <f>IF($B65="","",IFERROR(INDEX('例_顧客一覧'!$C$5:$C$104,MATCH($B65,'例_顧客一覧'!$A$5:$A$104,0))&amp;"","※顧客一覧にないID"))</f>
        <v/>
      </c>
      <c r="D65" s="7" t="n"/>
      <c r="E65" s="7" t="n"/>
      <c r="F65" s="14" t="n"/>
      <c r="G65" s="14" t="n"/>
      <c r="H65" s="13" t="n"/>
      <c r="I65" s="31" t="n"/>
      <c r="J65" s="12">
        <f>IF(ISNUMBER($A65),$A65+ROW()/100000,"")</f>
        <v/>
      </c>
      <c r="K65" s="12">
        <f>IF(AND(ISNUMBER($J65),$B65&lt;&gt;"",$B65='例_顧客カルテ'!$C$3),$J65,"")</f>
        <v/>
      </c>
    </row>
    <row r="66" ht="30" customHeight="1">
      <c r="A66" s="13" t="n"/>
      <c r="B66" s="7" t="n"/>
      <c r="C66" s="11">
        <f>IF($B66="","",IFERROR(INDEX('例_顧客一覧'!$C$5:$C$104,MATCH($B66,'例_顧客一覧'!$A$5:$A$104,0))&amp;"","※顧客一覧にないID"))</f>
        <v/>
      </c>
      <c r="D66" s="7" t="n"/>
      <c r="E66" s="7" t="n"/>
      <c r="F66" s="14" t="n"/>
      <c r="G66" s="14" t="n"/>
      <c r="H66" s="13" t="n"/>
      <c r="I66" s="31" t="n"/>
      <c r="J66" s="12">
        <f>IF(ISNUMBER($A66),$A66+ROW()/100000,"")</f>
        <v/>
      </c>
      <c r="K66" s="12">
        <f>IF(AND(ISNUMBER($J66),$B66&lt;&gt;"",$B66='例_顧客カルテ'!$C$3),$J66,"")</f>
        <v/>
      </c>
    </row>
    <row r="67" ht="30" customHeight="1">
      <c r="A67" s="13" t="n"/>
      <c r="B67" s="7" t="n"/>
      <c r="C67" s="11">
        <f>IF($B67="","",IFERROR(INDEX('例_顧客一覧'!$C$5:$C$104,MATCH($B67,'例_顧客一覧'!$A$5:$A$104,0))&amp;"","※顧客一覧にないID"))</f>
        <v/>
      </c>
      <c r="D67" s="7" t="n"/>
      <c r="E67" s="7" t="n"/>
      <c r="F67" s="14" t="n"/>
      <c r="G67" s="14" t="n"/>
      <c r="H67" s="13" t="n"/>
      <c r="I67" s="31" t="n"/>
      <c r="J67" s="12">
        <f>IF(ISNUMBER($A67),$A67+ROW()/100000,"")</f>
        <v/>
      </c>
      <c r="K67" s="12">
        <f>IF(AND(ISNUMBER($J67),$B67&lt;&gt;"",$B67='例_顧客カルテ'!$C$3),$J67,"")</f>
        <v/>
      </c>
    </row>
    <row r="68" ht="30" customHeight="1">
      <c r="A68" s="13" t="n"/>
      <c r="B68" s="7" t="n"/>
      <c r="C68" s="11">
        <f>IF($B68="","",IFERROR(INDEX('例_顧客一覧'!$C$5:$C$104,MATCH($B68,'例_顧客一覧'!$A$5:$A$104,0))&amp;"","※顧客一覧にないID"))</f>
        <v/>
      </c>
      <c r="D68" s="7" t="n"/>
      <c r="E68" s="7" t="n"/>
      <c r="F68" s="14" t="n"/>
      <c r="G68" s="14" t="n"/>
      <c r="H68" s="13" t="n"/>
      <c r="I68" s="31" t="n"/>
      <c r="J68" s="12">
        <f>IF(ISNUMBER($A68),$A68+ROW()/100000,"")</f>
        <v/>
      </c>
      <c r="K68" s="12">
        <f>IF(AND(ISNUMBER($J68),$B68&lt;&gt;"",$B68='例_顧客カルテ'!$C$3),$J68,"")</f>
        <v/>
      </c>
    </row>
    <row r="69" ht="30" customHeight="1">
      <c r="A69" s="13" t="n"/>
      <c r="B69" s="7" t="n"/>
      <c r="C69" s="11">
        <f>IF($B69="","",IFERROR(INDEX('例_顧客一覧'!$C$5:$C$104,MATCH($B69,'例_顧客一覧'!$A$5:$A$104,0))&amp;"","※顧客一覧にないID"))</f>
        <v/>
      </c>
      <c r="D69" s="7" t="n"/>
      <c r="E69" s="7" t="n"/>
      <c r="F69" s="14" t="n"/>
      <c r="G69" s="14" t="n"/>
      <c r="H69" s="13" t="n"/>
      <c r="I69" s="31" t="n"/>
      <c r="J69" s="12">
        <f>IF(ISNUMBER($A69),$A69+ROW()/100000,"")</f>
        <v/>
      </c>
      <c r="K69" s="12">
        <f>IF(AND(ISNUMBER($J69),$B69&lt;&gt;"",$B69='例_顧客カルテ'!$C$3),$J69,"")</f>
        <v/>
      </c>
    </row>
    <row r="70" ht="30" customHeight="1">
      <c r="A70" s="13" t="n"/>
      <c r="B70" s="7" t="n"/>
      <c r="C70" s="11">
        <f>IF($B70="","",IFERROR(INDEX('例_顧客一覧'!$C$5:$C$104,MATCH($B70,'例_顧客一覧'!$A$5:$A$104,0))&amp;"","※顧客一覧にないID"))</f>
        <v/>
      </c>
      <c r="D70" s="7" t="n"/>
      <c r="E70" s="7" t="n"/>
      <c r="F70" s="14" t="n"/>
      <c r="G70" s="14" t="n"/>
      <c r="H70" s="13" t="n"/>
      <c r="I70" s="31" t="n"/>
      <c r="J70" s="12">
        <f>IF(ISNUMBER($A70),$A70+ROW()/100000,"")</f>
        <v/>
      </c>
      <c r="K70" s="12">
        <f>IF(AND(ISNUMBER($J70),$B70&lt;&gt;"",$B70='例_顧客カルテ'!$C$3),$J70,"")</f>
        <v/>
      </c>
    </row>
    <row r="71" ht="30" customHeight="1">
      <c r="A71" s="13" t="n"/>
      <c r="B71" s="7" t="n"/>
      <c r="C71" s="11">
        <f>IF($B71="","",IFERROR(INDEX('例_顧客一覧'!$C$5:$C$104,MATCH($B71,'例_顧客一覧'!$A$5:$A$104,0))&amp;"","※顧客一覧にないID"))</f>
        <v/>
      </c>
      <c r="D71" s="7" t="n"/>
      <c r="E71" s="7" t="n"/>
      <c r="F71" s="14" t="n"/>
      <c r="G71" s="14" t="n"/>
      <c r="H71" s="13" t="n"/>
      <c r="I71" s="31" t="n"/>
      <c r="J71" s="12">
        <f>IF(ISNUMBER($A71),$A71+ROW()/100000,"")</f>
        <v/>
      </c>
      <c r="K71" s="12">
        <f>IF(AND(ISNUMBER($J71),$B71&lt;&gt;"",$B71='例_顧客カルテ'!$C$3),$J71,"")</f>
        <v/>
      </c>
    </row>
    <row r="72" ht="30" customHeight="1">
      <c r="A72" s="13" t="n"/>
      <c r="B72" s="7" t="n"/>
      <c r="C72" s="11">
        <f>IF($B72="","",IFERROR(INDEX('例_顧客一覧'!$C$5:$C$104,MATCH($B72,'例_顧客一覧'!$A$5:$A$104,0))&amp;"","※顧客一覧にないID"))</f>
        <v/>
      </c>
      <c r="D72" s="7" t="n"/>
      <c r="E72" s="7" t="n"/>
      <c r="F72" s="14" t="n"/>
      <c r="G72" s="14" t="n"/>
      <c r="H72" s="13" t="n"/>
      <c r="I72" s="31" t="n"/>
      <c r="J72" s="12">
        <f>IF(ISNUMBER($A72),$A72+ROW()/100000,"")</f>
        <v/>
      </c>
      <c r="K72" s="12">
        <f>IF(AND(ISNUMBER($J72),$B72&lt;&gt;"",$B72='例_顧客カルテ'!$C$3),$J72,"")</f>
        <v/>
      </c>
    </row>
    <row r="73" ht="30" customHeight="1">
      <c r="A73" s="13" t="n"/>
      <c r="B73" s="7" t="n"/>
      <c r="C73" s="11">
        <f>IF($B73="","",IFERROR(INDEX('例_顧客一覧'!$C$5:$C$104,MATCH($B73,'例_顧客一覧'!$A$5:$A$104,0))&amp;"","※顧客一覧にないID"))</f>
        <v/>
      </c>
      <c r="D73" s="7" t="n"/>
      <c r="E73" s="7" t="n"/>
      <c r="F73" s="14" t="n"/>
      <c r="G73" s="14" t="n"/>
      <c r="H73" s="13" t="n"/>
      <c r="I73" s="31" t="n"/>
      <c r="J73" s="12">
        <f>IF(ISNUMBER($A73),$A73+ROW()/100000,"")</f>
        <v/>
      </c>
      <c r="K73" s="12">
        <f>IF(AND(ISNUMBER($J73),$B73&lt;&gt;"",$B73='例_顧客カルテ'!$C$3),$J73,"")</f>
        <v/>
      </c>
    </row>
    <row r="74" ht="30" customHeight="1">
      <c r="A74" s="13" t="n"/>
      <c r="B74" s="7" t="n"/>
      <c r="C74" s="11">
        <f>IF($B74="","",IFERROR(INDEX('例_顧客一覧'!$C$5:$C$104,MATCH($B74,'例_顧客一覧'!$A$5:$A$104,0))&amp;"","※顧客一覧にないID"))</f>
        <v/>
      </c>
      <c r="D74" s="7" t="n"/>
      <c r="E74" s="7" t="n"/>
      <c r="F74" s="14" t="n"/>
      <c r="G74" s="14" t="n"/>
      <c r="H74" s="13" t="n"/>
      <c r="I74" s="31" t="n"/>
      <c r="J74" s="12">
        <f>IF(ISNUMBER($A74),$A74+ROW()/100000,"")</f>
        <v/>
      </c>
      <c r="K74" s="12">
        <f>IF(AND(ISNUMBER($J74),$B74&lt;&gt;"",$B74='例_顧客カルテ'!$C$3),$J74,"")</f>
        <v/>
      </c>
    </row>
    <row r="75" ht="30" customHeight="1">
      <c r="A75" s="13" t="n"/>
      <c r="B75" s="7" t="n"/>
      <c r="C75" s="11">
        <f>IF($B75="","",IFERROR(INDEX('例_顧客一覧'!$C$5:$C$104,MATCH($B75,'例_顧客一覧'!$A$5:$A$104,0))&amp;"","※顧客一覧にないID"))</f>
        <v/>
      </c>
      <c r="D75" s="7" t="n"/>
      <c r="E75" s="7" t="n"/>
      <c r="F75" s="14" t="n"/>
      <c r="G75" s="14" t="n"/>
      <c r="H75" s="13" t="n"/>
      <c r="I75" s="31" t="n"/>
      <c r="J75" s="12">
        <f>IF(ISNUMBER($A75),$A75+ROW()/100000,"")</f>
        <v/>
      </c>
      <c r="K75" s="12">
        <f>IF(AND(ISNUMBER($J75),$B75&lt;&gt;"",$B75='例_顧客カルテ'!$C$3),$J75,"")</f>
        <v/>
      </c>
    </row>
    <row r="76" ht="30" customHeight="1">
      <c r="A76" s="13" t="n"/>
      <c r="B76" s="7" t="n"/>
      <c r="C76" s="11">
        <f>IF($B76="","",IFERROR(INDEX('例_顧客一覧'!$C$5:$C$104,MATCH($B76,'例_顧客一覧'!$A$5:$A$104,0))&amp;"","※顧客一覧にないID"))</f>
        <v/>
      </c>
      <c r="D76" s="7" t="n"/>
      <c r="E76" s="7" t="n"/>
      <c r="F76" s="14" t="n"/>
      <c r="G76" s="14" t="n"/>
      <c r="H76" s="13" t="n"/>
      <c r="I76" s="31" t="n"/>
      <c r="J76" s="12">
        <f>IF(ISNUMBER($A76),$A76+ROW()/100000,"")</f>
        <v/>
      </c>
      <c r="K76" s="12">
        <f>IF(AND(ISNUMBER($J76),$B76&lt;&gt;"",$B76='例_顧客カルテ'!$C$3),$J76,"")</f>
        <v/>
      </c>
    </row>
    <row r="77" ht="30" customHeight="1">
      <c r="A77" s="13" t="n"/>
      <c r="B77" s="7" t="n"/>
      <c r="C77" s="11">
        <f>IF($B77="","",IFERROR(INDEX('例_顧客一覧'!$C$5:$C$104,MATCH($B77,'例_顧客一覧'!$A$5:$A$104,0))&amp;"","※顧客一覧にないID"))</f>
        <v/>
      </c>
      <c r="D77" s="7" t="n"/>
      <c r="E77" s="7" t="n"/>
      <c r="F77" s="14" t="n"/>
      <c r="G77" s="14" t="n"/>
      <c r="H77" s="13" t="n"/>
      <c r="I77" s="31" t="n"/>
      <c r="J77" s="12">
        <f>IF(ISNUMBER($A77),$A77+ROW()/100000,"")</f>
        <v/>
      </c>
      <c r="K77" s="12">
        <f>IF(AND(ISNUMBER($J77),$B77&lt;&gt;"",$B77='例_顧客カルテ'!$C$3),$J77,"")</f>
        <v/>
      </c>
    </row>
    <row r="78" ht="30" customHeight="1">
      <c r="A78" s="13" t="n"/>
      <c r="B78" s="7" t="n"/>
      <c r="C78" s="11">
        <f>IF($B78="","",IFERROR(INDEX('例_顧客一覧'!$C$5:$C$104,MATCH($B78,'例_顧客一覧'!$A$5:$A$104,0))&amp;"","※顧客一覧にないID"))</f>
        <v/>
      </c>
      <c r="D78" s="7" t="n"/>
      <c r="E78" s="7" t="n"/>
      <c r="F78" s="14" t="n"/>
      <c r="G78" s="14" t="n"/>
      <c r="H78" s="13" t="n"/>
      <c r="I78" s="31" t="n"/>
      <c r="J78" s="12">
        <f>IF(ISNUMBER($A78),$A78+ROW()/100000,"")</f>
        <v/>
      </c>
      <c r="K78" s="12">
        <f>IF(AND(ISNUMBER($J78),$B78&lt;&gt;"",$B78='例_顧客カルテ'!$C$3),$J78,"")</f>
        <v/>
      </c>
    </row>
    <row r="79" ht="30" customHeight="1">
      <c r="A79" s="13" t="n"/>
      <c r="B79" s="7" t="n"/>
      <c r="C79" s="11">
        <f>IF($B79="","",IFERROR(INDEX('例_顧客一覧'!$C$5:$C$104,MATCH($B79,'例_顧客一覧'!$A$5:$A$104,0))&amp;"","※顧客一覧にないID"))</f>
        <v/>
      </c>
      <c r="D79" s="7" t="n"/>
      <c r="E79" s="7" t="n"/>
      <c r="F79" s="14" t="n"/>
      <c r="G79" s="14" t="n"/>
      <c r="H79" s="13" t="n"/>
      <c r="I79" s="31" t="n"/>
      <c r="J79" s="12">
        <f>IF(ISNUMBER($A79),$A79+ROW()/100000,"")</f>
        <v/>
      </c>
      <c r="K79" s="12">
        <f>IF(AND(ISNUMBER($J79),$B79&lt;&gt;"",$B79='例_顧客カルテ'!$C$3),$J79,"")</f>
        <v/>
      </c>
    </row>
    <row r="80" ht="30" customHeight="1">
      <c r="A80" s="13" t="n"/>
      <c r="B80" s="7" t="n"/>
      <c r="C80" s="11">
        <f>IF($B80="","",IFERROR(INDEX('例_顧客一覧'!$C$5:$C$104,MATCH($B80,'例_顧客一覧'!$A$5:$A$104,0))&amp;"","※顧客一覧にないID"))</f>
        <v/>
      </c>
      <c r="D80" s="7" t="n"/>
      <c r="E80" s="7" t="n"/>
      <c r="F80" s="14" t="n"/>
      <c r="G80" s="14" t="n"/>
      <c r="H80" s="13" t="n"/>
      <c r="I80" s="31" t="n"/>
      <c r="J80" s="12">
        <f>IF(ISNUMBER($A80),$A80+ROW()/100000,"")</f>
        <v/>
      </c>
      <c r="K80" s="12">
        <f>IF(AND(ISNUMBER($J80),$B80&lt;&gt;"",$B80='例_顧客カルテ'!$C$3),$J80,"")</f>
        <v/>
      </c>
    </row>
    <row r="81" ht="30" customHeight="1">
      <c r="A81" s="13" t="n"/>
      <c r="B81" s="7" t="n"/>
      <c r="C81" s="11">
        <f>IF($B81="","",IFERROR(INDEX('例_顧客一覧'!$C$5:$C$104,MATCH($B81,'例_顧客一覧'!$A$5:$A$104,0))&amp;"","※顧客一覧にないID"))</f>
        <v/>
      </c>
      <c r="D81" s="7" t="n"/>
      <c r="E81" s="7" t="n"/>
      <c r="F81" s="14" t="n"/>
      <c r="G81" s="14" t="n"/>
      <c r="H81" s="13" t="n"/>
      <c r="I81" s="31" t="n"/>
      <c r="J81" s="12">
        <f>IF(ISNUMBER($A81),$A81+ROW()/100000,"")</f>
        <v/>
      </c>
      <c r="K81" s="12">
        <f>IF(AND(ISNUMBER($J81),$B81&lt;&gt;"",$B81='例_顧客カルテ'!$C$3),$J81,"")</f>
        <v/>
      </c>
    </row>
    <row r="82" ht="30" customHeight="1">
      <c r="A82" s="13" t="n"/>
      <c r="B82" s="7" t="n"/>
      <c r="C82" s="11">
        <f>IF($B82="","",IFERROR(INDEX('例_顧客一覧'!$C$5:$C$104,MATCH($B82,'例_顧客一覧'!$A$5:$A$104,0))&amp;"","※顧客一覧にないID"))</f>
        <v/>
      </c>
      <c r="D82" s="7" t="n"/>
      <c r="E82" s="7" t="n"/>
      <c r="F82" s="14" t="n"/>
      <c r="G82" s="14" t="n"/>
      <c r="H82" s="13" t="n"/>
      <c r="I82" s="31" t="n"/>
      <c r="J82" s="12">
        <f>IF(ISNUMBER($A82),$A82+ROW()/100000,"")</f>
        <v/>
      </c>
      <c r="K82" s="12">
        <f>IF(AND(ISNUMBER($J82),$B82&lt;&gt;"",$B82='例_顧客カルテ'!$C$3),$J82,"")</f>
        <v/>
      </c>
    </row>
    <row r="83" ht="30" customHeight="1">
      <c r="A83" s="13" t="n"/>
      <c r="B83" s="7" t="n"/>
      <c r="C83" s="11">
        <f>IF($B83="","",IFERROR(INDEX('例_顧客一覧'!$C$5:$C$104,MATCH($B83,'例_顧客一覧'!$A$5:$A$104,0))&amp;"","※顧客一覧にないID"))</f>
        <v/>
      </c>
      <c r="D83" s="7" t="n"/>
      <c r="E83" s="7" t="n"/>
      <c r="F83" s="14" t="n"/>
      <c r="G83" s="14" t="n"/>
      <c r="H83" s="13" t="n"/>
      <c r="I83" s="31" t="n"/>
      <c r="J83" s="12">
        <f>IF(ISNUMBER($A83),$A83+ROW()/100000,"")</f>
        <v/>
      </c>
      <c r="K83" s="12">
        <f>IF(AND(ISNUMBER($J83),$B83&lt;&gt;"",$B83='例_顧客カルテ'!$C$3),$J83,"")</f>
        <v/>
      </c>
    </row>
    <row r="84" ht="30" customHeight="1">
      <c r="A84" s="13" t="n"/>
      <c r="B84" s="7" t="n"/>
      <c r="C84" s="11">
        <f>IF($B84="","",IFERROR(INDEX('例_顧客一覧'!$C$5:$C$104,MATCH($B84,'例_顧客一覧'!$A$5:$A$104,0))&amp;"","※顧客一覧にないID"))</f>
        <v/>
      </c>
      <c r="D84" s="7" t="n"/>
      <c r="E84" s="7" t="n"/>
      <c r="F84" s="14" t="n"/>
      <c r="G84" s="14" t="n"/>
      <c r="H84" s="13" t="n"/>
      <c r="I84" s="31" t="n"/>
      <c r="J84" s="12">
        <f>IF(ISNUMBER($A84),$A84+ROW()/100000,"")</f>
        <v/>
      </c>
      <c r="K84" s="12">
        <f>IF(AND(ISNUMBER($J84),$B84&lt;&gt;"",$B84='例_顧客カルテ'!$C$3),$J84,"")</f>
        <v/>
      </c>
    </row>
    <row r="85" ht="30" customHeight="1">
      <c r="A85" s="13" t="n"/>
      <c r="B85" s="7" t="n"/>
      <c r="C85" s="11">
        <f>IF($B85="","",IFERROR(INDEX('例_顧客一覧'!$C$5:$C$104,MATCH($B85,'例_顧客一覧'!$A$5:$A$104,0))&amp;"","※顧客一覧にないID"))</f>
        <v/>
      </c>
      <c r="D85" s="7" t="n"/>
      <c r="E85" s="7" t="n"/>
      <c r="F85" s="14" t="n"/>
      <c r="G85" s="14" t="n"/>
      <c r="H85" s="13" t="n"/>
      <c r="I85" s="31" t="n"/>
      <c r="J85" s="12">
        <f>IF(ISNUMBER($A85),$A85+ROW()/100000,"")</f>
        <v/>
      </c>
      <c r="K85" s="12">
        <f>IF(AND(ISNUMBER($J85),$B85&lt;&gt;"",$B85='例_顧客カルテ'!$C$3),$J85,"")</f>
        <v/>
      </c>
    </row>
    <row r="86" ht="30" customHeight="1">
      <c r="A86" s="13" t="n"/>
      <c r="B86" s="7" t="n"/>
      <c r="C86" s="11">
        <f>IF($B86="","",IFERROR(INDEX('例_顧客一覧'!$C$5:$C$104,MATCH($B86,'例_顧客一覧'!$A$5:$A$104,0))&amp;"","※顧客一覧にないID"))</f>
        <v/>
      </c>
      <c r="D86" s="7" t="n"/>
      <c r="E86" s="7" t="n"/>
      <c r="F86" s="14" t="n"/>
      <c r="G86" s="14" t="n"/>
      <c r="H86" s="13" t="n"/>
      <c r="I86" s="31" t="n"/>
      <c r="J86" s="12">
        <f>IF(ISNUMBER($A86),$A86+ROW()/100000,"")</f>
        <v/>
      </c>
      <c r="K86" s="12">
        <f>IF(AND(ISNUMBER($J86),$B86&lt;&gt;"",$B86='例_顧客カルテ'!$C$3),$J86,"")</f>
        <v/>
      </c>
    </row>
    <row r="87" ht="30" customHeight="1">
      <c r="A87" s="13" t="n"/>
      <c r="B87" s="7" t="n"/>
      <c r="C87" s="11">
        <f>IF($B87="","",IFERROR(INDEX('例_顧客一覧'!$C$5:$C$104,MATCH($B87,'例_顧客一覧'!$A$5:$A$104,0))&amp;"","※顧客一覧にないID"))</f>
        <v/>
      </c>
      <c r="D87" s="7" t="n"/>
      <c r="E87" s="7" t="n"/>
      <c r="F87" s="14" t="n"/>
      <c r="G87" s="14" t="n"/>
      <c r="H87" s="13" t="n"/>
      <c r="I87" s="31" t="n"/>
      <c r="J87" s="12">
        <f>IF(ISNUMBER($A87),$A87+ROW()/100000,"")</f>
        <v/>
      </c>
      <c r="K87" s="12">
        <f>IF(AND(ISNUMBER($J87),$B87&lt;&gt;"",$B87='例_顧客カルテ'!$C$3),$J87,"")</f>
        <v/>
      </c>
    </row>
    <row r="88" ht="30" customHeight="1">
      <c r="A88" s="13" t="n"/>
      <c r="B88" s="7" t="n"/>
      <c r="C88" s="11">
        <f>IF($B88="","",IFERROR(INDEX('例_顧客一覧'!$C$5:$C$104,MATCH($B88,'例_顧客一覧'!$A$5:$A$104,0))&amp;"","※顧客一覧にないID"))</f>
        <v/>
      </c>
      <c r="D88" s="7" t="n"/>
      <c r="E88" s="7" t="n"/>
      <c r="F88" s="14" t="n"/>
      <c r="G88" s="14" t="n"/>
      <c r="H88" s="13" t="n"/>
      <c r="I88" s="31" t="n"/>
      <c r="J88" s="12">
        <f>IF(ISNUMBER($A88),$A88+ROW()/100000,"")</f>
        <v/>
      </c>
      <c r="K88" s="12">
        <f>IF(AND(ISNUMBER($J88),$B88&lt;&gt;"",$B88='例_顧客カルテ'!$C$3),$J88,"")</f>
        <v/>
      </c>
    </row>
    <row r="89" ht="30" customHeight="1">
      <c r="A89" s="13" t="n"/>
      <c r="B89" s="7" t="n"/>
      <c r="C89" s="11">
        <f>IF($B89="","",IFERROR(INDEX('例_顧客一覧'!$C$5:$C$104,MATCH($B89,'例_顧客一覧'!$A$5:$A$104,0))&amp;"","※顧客一覧にないID"))</f>
        <v/>
      </c>
      <c r="D89" s="7" t="n"/>
      <c r="E89" s="7" t="n"/>
      <c r="F89" s="14" t="n"/>
      <c r="G89" s="14" t="n"/>
      <c r="H89" s="13" t="n"/>
      <c r="I89" s="31" t="n"/>
      <c r="J89" s="12">
        <f>IF(ISNUMBER($A89),$A89+ROW()/100000,"")</f>
        <v/>
      </c>
      <c r="K89" s="12">
        <f>IF(AND(ISNUMBER($J89),$B89&lt;&gt;"",$B89='例_顧客カルテ'!$C$3),$J89,"")</f>
        <v/>
      </c>
    </row>
    <row r="90" ht="30" customHeight="1">
      <c r="A90" s="13" t="n"/>
      <c r="B90" s="7" t="n"/>
      <c r="C90" s="11">
        <f>IF($B90="","",IFERROR(INDEX('例_顧客一覧'!$C$5:$C$104,MATCH($B90,'例_顧客一覧'!$A$5:$A$104,0))&amp;"","※顧客一覧にないID"))</f>
        <v/>
      </c>
      <c r="D90" s="7" t="n"/>
      <c r="E90" s="7" t="n"/>
      <c r="F90" s="14" t="n"/>
      <c r="G90" s="14" t="n"/>
      <c r="H90" s="13" t="n"/>
      <c r="I90" s="31" t="n"/>
      <c r="J90" s="12">
        <f>IF(ISNUMBER($A90),$A90+ROW()/100000,"")</f>
        <v/>
      </c>
      <c r="K90" s="12">
        <f>IF(AND(ISNUMBER($J90),$B90&lt;&gt;"",$B90='例_顧客カルテ'!$C$3),$J90,"")</f>
        <v/>
      </c>
    </row>
    <row r="91" ht="30" customHeight="1">
      <c r="A91" s="13" t="n"/>
      <c r="B91" s="7" t="n"/>
      <c r="C91" s="11">
        <f>IF($B91="","",IFERROR(INDEX('例_顧客一覧'!$C$5:$C$104,MATCH($B91,'例_顧客一覧'!$A$5:$A$104,0))&amp;"","※顧客一覧にないID"))</f>
        <v/>
      </c>
      <c r="D91" s="7" t="n"/>
      <c r="E91" s="7" t="n"/>
      <c r="F91" s="14" t="n"/>
      <c r="G91" s="14" t="n"/>
      <c r="H91" s="13" t="n"/>
      <c r="I91" s="31" t="n"/>
      <c r="J91" s="12">
        <f>IF(ISNUMBER($A91),$A91+ROW()/100000,"")</f>
        <v/>
      </c>
      <c r="K91" s="12">
        <f>IF(AND(ISNUMBER($J91),$B91&lt;&gt;"",$B91='例_顧客カルテ'!$C$3),$J91,"")</f>
        <v/>
      </c>
    </row>
    <row r="92" ht="30" customHeight="1">
      <c r="A92" s="13" t="n"/>
      <c r="B92" s="7" t="n"/>
      <c r="C92" s="11">
        <f>IF($B92="","",IFERROR(INDEX('例_顧客一覧'!$C$5:$C$104,MATCH($B92,'例_顧客一覧'!$A$5:$A$104,0))&amp;"","※顧客一覧にないID"))</f>
        <v/>
      </c>
      <c r="D92" s="7" t="n"/>
      <c r="E92" s="7" t="n"/>
      <c r="F92" s="14" t="n"/>
      <c r="G92" s="14" t="n"/>
      <c r="H92" s="13" t="n"/>
      <c r="I92" s="31" t="n"/>
      <c r="J92" s="12">
        <f>IF(ISNUMBER($A92),$A92+ROW()/100000,"")</f>
        <v/>
      </c>
      <c r="K92" s="12">
        <f>IF(AND(ISNUMBER($J92),$B92&lt;&gt;"",$B92='例_顧客カルテ'!$C$3),$J92,"")</f>
        <v/>
      </c>
    </row>
    <row r="93" ht="30" customHeight="1">
      <c r="A93" s="13" t="n"/>
      <c r="B93" s="7" t="n"/>
      <c r="C93" s="11">
        <f>IF($B93="","",IFERROR(INDEX('例_顧客一覧'!$C$5:$C$104,MATCH($B93,'例_顧客一覧'!$A$5:$A$104,0))&amp;"","※顧客一覧にないID"))</f>
        <v/>
      </c>
      <c r="D93" s="7" t="n"/>
      <c r="E93" s="7" t="n"/>
      <c r="F93" s="14" t="n"/>
      <c r="G93" s="14" t="n"/>
      <c r="H93" s="13" t="n"/>
      <c r="I93" s="31" t="n"/>
      <c r="J93" s="12">
        <f>IF(ISNUMBER($A93),$A93+ROW()/100000,"")</f>
        <v/>
      </c>
      <c r="K93" s="12">
        <f>IF(AND(ISNUMBER($J93),$B93&lt;&gt;"",$B93='例_顧客カルテ'!$C$3),$J93,"")</f>
        <v/>
      </c>
    </row>
    <row r="94" ht="30" customHeight="1">
      <c r="A94" s="13" t="n"/>
      <c r="B94" s="7" t="n"/>
      <c r="C94" s="11">
        <f>IF($B94="","",IFERROR(INDEX('例_顧客一覧'!$C$5:$C$104,MATCH($B94,'例_顧客一覧'!$A$5:$A$104,0))&amp;"","※顧客一覧にないID"))</f>
        <v/>
      </c>
      <c r="D94" s="7" t="n"/>
      <c r="E94" s="7" t="n"/>
      <c r="F94" s="14" t="n"/>
      <c r="G94" s="14" t="n"/>
      <c r="H94" s="13" t="n"/>
      <c r="I94" s="31" t="n"/>
      <c r="J94" s="12">
        <f>IF(ISNUMBER($A94),$A94+ROW()/100000,"")</f>
        <v/>
      </c>
      <c r="K94" s="12">
        <f>IF(AND(ISNUMBER($J94),$B94&lt;&gt;"",$B94='例_顧客カルテ'!$C$3),$J94,"")</f>
        <v/>
      </c>
    </row>
    <row r="95" ht="30" customHeight="1">
      <c r="A95" s="13" t="n"/>
      <c r="B95" s="7" t="n"/>
      <c r="C95" s="11">
        <f>IF($B95="","",IFERROR(INDEX('例_顧客一覧'!$C$5:$C$104,MATCH($B95,'例_顧客一覧'!$A$5:$A$104,0))&amp;"","※顧客一覧にないID"))</f>
        <v/>
      </c>
      <c r="D95" s="7" t="n"/>
      <c r="E95" s="7" t="n"/>
      <c r="F95" s="14" t="n"/>
      <c r="G95" s="14" t="n"/>
      <c r="H95" s="13" t="n"/>
      <c r="I95" s="31" t="n"/>
      <c r="J95" s="12">
        <f>IF(ISNUMBER($A95),$A95+ROW()/100000,"")</f>
        <v/>
      </c>
      <c r="K95" s="12">
        <f>IF(AND(ISNUMBER($J95),$B95&lt;&gt;"",$B95='例_顧客カルテ'!$C$3),$J95,"")</f>
        <v/>
      </c>
    </row>
    <row r="96" ht="30" customHeight="1">
      <c r="A96" s="13" t="n"/>
      <c r="B96" s="7" t="n"/>
      <c r="C96" s="11">
        <f>IF($B96="","",IFERROR(INDEX('例_顧客一覧'!$C$5:$C$104,MATCH($B96,'例_顧客一覧'!$A$5:$A$104,0))&amp;"","※顧客一覧にないID"))</f>
        <v/>
      </c>
      <c r="D96" s="7" t="n"/>
      <c r="E96" s="7" t="n"/>
      <c r="F96" s="14" t="n"/>
      <c r="G96" s="14" t="n"/>
      <c r="H96" s="13" t="n"/>
      <c r="I96" s="31" t="n"/>
      <c r="J96" s="12">
        <f>IF(ISNUMBER($A96),$A96+ROW()/100000,"")</f>
        <v/>
      </c>
      <c r="K96" s="12">
        <f>IF(AND(ISNUMBER($J96),$B96&lt;&gt;"",$B96='例_顧客カルテ'!$C$3),$J96,"")</f>
        <v/>
      </c>
    </row>
    <row r="97" ht="30" customHeight="1">
      <c r="A97" s="13" t="n"/>
      <c r="B97" s="7" t="n"/>
      <c r="C97" s="11">
        <f>IF($B97="","",IFERROR(INDEX('例_顧客一覧'!$C$5:$C$104,MATCH($B97,'例_顧客一覧'!$A$5:$A$104,0))&amp;"","※顧客一覧にないID"))</f>
        <v/>
      </c>
      <c r="D97" s="7" t="n"/>
      <c r="E97" s="7" t="n"/>
      <c r="F97" s="14" t="n"/>
      <c r="G97" s="14" t="n"/>
      <c r="H97" s="13" t="n"/>
      <c r="I97" s="31" t="n"/>
      <c r="J97" s="12">
        <f>IF(ISNUMBER($A97),$A97+ROW()/100000,"")</f>
        <v/>
      </c>
      <c r="K97" s="12">
        <f>IF(AND(ISNUMBER($J97),$B97&lt;&gt;"",$B97='例_顧客カルテ'!$C$3),$J97,"")</f>
        <v/>
      </c>
    </row>
    <row r="98" ht="30" customHeight="1">
      <c r="A98" s="13" t="n"/>
      <c r="B98" s="7" t="n"/>
      <c r="C98" s="11">
        <f>IF($B98="","",IFERROR(INDEX('例_顧客一覧'!$C$5:$C$104,MATCH($B98,'例_顧客一覧'!$A$5:$A$104,0))&amp;"","※顧客一覧にないID"))</f>
        <v/>
      </c>
      <c r="D98" s="7" t="n"/>
      <c r="E98" s="7" t="n"/>
      <c r="F98" s="14" t="n"/>
      <c r="G98" s="14" t="n"/>
      <c r="H98" s="13" t="n"/>
      <c r="I98" s="31" t="n"/>
      <c r="J98" s="12">
        <f>IF(ISNUMBER($A98),$A98+ROW()/100000,"")</f>
        <v/>
      </c>
      <c r="K98" s="12">
        <f>IF(AND(ISNUMBER($J98),$B98&lt;&gt;"",$B98='例_顧客カルテ'!$C$3),$J98,"")</f>
        <v/>
      </c>
    </row>
    <row r="99" ht="30" customHeight="1">
      <c r="A99" s="13" t="n"/>
      <c r="B99" s="7" t="n"/>
      <c r="C99" s="11">
        <f>IF($B99="","",IFERROR(INDEX('例_顧客一覧'!$C$5:$C$104,MATCH($B99,'例_顧客一覧'!$A$5:$A$104,0))&amp;"","※顧客一覧にないID"))</f>
        <v/>
      </c>
      <c r="D99" s="7" t="n"/>
      <c r="E99" s="7" t="n"/>
      <c r="F99" s="14" t="n"/>
      <c r="G99" s="14" t="n"/>
      <c r="H99" s="13" t="n"/>
      <c r="I99" s="31" t="n"/>
      <c r="J99" s="12">
        <f>IF(ISNUMBER($A99),$A99+ROW()/100000,"")</f>
        <v/>
      </c>
      <c r="K99" s="12">
        <f>IF(AND(ISNUMBER($J99),$B99&lt;&gt;"",$B99='例_顧客カルテ'!$C$3),$J99,"")</f>
        <v/>
      </c>
    </row>
    <row r="100" ht="30" customHeight="1">
      <c r="A100" s="13" t="n"/>
      <c r="B100" s="7" t="n"/>
      <c r="C100" s="11">
        <f>IF($B100="","",IFERROR(INDEX('例_顧客一覧'!$C$5:$C$104,MATCH($B100,'例_顧客一覧'!$A$5:$A$104,0))&amp;"","※顧客一覧にないID"))</f>
        <v/>
      </c>
      <c r="D100" s="7" t="n"/>
      <c r="E100" s="7" t="n"/>
      <c r="F100" s="14" t="n"/>
      <c r="G100" s="14" t="n"/>
      <c r="H100" s="13" t="n"/>
      <c r="I100" s="31" t="n"/>
      <c r="J100" s="12">
        <f>IF(ISNUMBER($A100),$A100+ROW()/100000,"")</f>
        <v/>
      </c>
      <c r="K100" s="12">
        <f>IF(AND(ISNUMBER($J100),$B100&lt;&gt;"",$B100='例_顧客カルテ'!$C$3),$J100,"")</f>
        <v/>
      </c>
    </row>
    <row r="101" ht="30" customHeight="1">
      <c r="A101" s="13" t="n"/>
      <c r="B101" s="7" t="n"/>
      <c r="C101" s="11">
        <f>IF($B101="","",IFERROR(INDEX('例_顧客一覧'!$C$5:$C$104,MATCH($B101,'例_顧客一覧'!$A$5:$A$104,0))&amp;"","※顧客一覧にないID"))</f>
        <v/>
      </c>
      <c r="D101" s="7" t="n"/>
      <c r="E101" s="7" t="n"/>
      <c r="F101" s="14" t="n"/>
      <c r="G101" s="14" t="n"/>
      <c r="H101" s="13" t="n"/>
      <c r="I101" s="31" t="n"/>
      <c r="J101" s="12">
        <f>IF(ISNUMBER($A101),$A101+ROW()/100000,"")</f>
        <v/>
      </c>
      <c r="K101" s="12">
        <f>IF(AND(ISNUMBER($J101),$B101&lt;&gt;"",$B101='例_顧客カルテ'!$C$3),$J101,"")</f>
        <v/>
      </c>
    </row>
    <row r="102" ht="30" customHeight="1">
      <c r="A102" s="13" t="n"/>
      <c r="B102" s="7" t="n"/>
      <c r="C102" s="11">
        <f>IF($B102="","",IFERROR(INDEX('例_顧客一覧'!$C$5:$C$104,MATCH($B102,'例_顧客一覧'!$A$5:$A$104,0))&amp;"","※顧客一覧にないID"))</f>
        <v/>
      </c>
      <c r="D102" s="7" t="n"/>
      <c r="E102" s="7" t="n"/>
      <c r="F102" s="14" t="n"/>
      <c r="G102" s="14" t="n"/>
      <c r="H102" s="13" t="n"/>
      <c r="I102" s="31" t="n"/>
      <c r="J102" s="12">
        <f>IF(ISNUMBER($A102),$A102+ROW()/100000,"")</f>
        <v/>
      </c>
      <c r="K102" s="12">
        <f>IF(AND(ISNUMBER($J102),$B102&lt;&gt;"",$B102='例_顧客カルテ'!$C$3),$J102,"")</f>
        <v/>
      </c>
    </row>
    <row r="103" ht="30" customHeight="1">
      <c r="A103" s="13" t="n"/>
      <c r="B103" s="7" t="n"/>
      <c r="C103" s="11">
        <f>IF($B103="","",IFERROR(INDEX('例_顧客一覧'!$C$5:$C$104,MATCH($B103,'例_顧客一覧'!$A$5:$A$104,0))&amp;"","※顧客一覧にないID"))</f>
        <v/>
      </c>
      <c r="D103" s="7" t="n"/>
      <c r="E103" s="7" t="n"/>
      <c r="F103" s="14" t="n"/>
      <c r="G103" s="14" t="n"/>
      <c r="H103" s="13" t="n"/>
      <c r="I103" s="31" t="n"/>
      <c r="J103" s="12">
        <f>IF(ISNUMBER($A103),$A103+ROW()/100000,"")</f>
        <v/>
      </c>
      <c r="K103" s="12">
        <f>IF(AND(ISNUMBER($J103),$B103&lt;&gt;"",$B103='例_顧客カルテ'!$C$3),$J103,"")</f>
        <v/>
      </c>
    </row>
    <row r="104" ht="30" customHeight="1">
      <c r="A104" s="13" t="n"/>
      <c r="B104" s="7" t="n"/>
      <c r="C104" s="11">
        <f>IF($B104="","",IFERROR(INDEX('例_顧客一覧'!$C$5:$C$104,MATCH($B104,'例_顧客一覧'!$A$5:$A$104,0))&amp;"","※顧客一覧にないID"))</f>
        <v/>
      </c>
      <c r="D104" s="7" t="n"/>
      <c r="E104" s="7" t="n"/>
      <c r="F104" s="14" t="n"/>
      <c r="G104" s="14" t="n"/>
      <c r="H104" s="13" t="n"/>
      <c r="I104" s="31" t="n"/>
      <c r="J104" s="12">
        <f>IF(ISNUMBER($A104),$A104+ROW()/100000,"")</f>
        <v/>
      </c>
      <c r="K104" s="12">
        <f>IF(AND(ISNUMBER($J104),$B104&lt;&gt;"",$B104='例_顧客カルテ'!$C$3),$J104,"")</f>
        <v/>
      </c>
    </row>
    <row r="105" ht="30" customHeight="1">
      <c r="A105" s="13" t="n"/>
      <c r="B105" s="7" t="n"/>
      <c r="C105" s="11">
        <f>IF($B105="","",IFERROR(INDEX('例_顧客一覧'!$C$5:$C$104,MATCH($B105,'例_顧客一覧'!$A$5:$A$104,0))&amp;"","※顧客一覧にないID"))</f>
        <v/>
      </c>
      <c r="D105" s="7" t="n"/>
      <c r="E105" s="7" t="n"/>
      <c r="F105" s="14" t="n"/>
      <c r="G105" s="14" t="n"/>
      <c r="H105" s="13" t="n"/>
      <c r="I105" s="31" t="n"/>
      <c r="J105" s="12">
        <f>IF(ISNUMBER($A105),$A105+ROW()/100000,"")</f>
        <v/>
      </c>
      <c r="K105" s="12">
        <f>IF(AND(ISNUMBER($J105),$B105&lt;&gt;"",$B105='例_顧客カルテ'!$C$3),$J105,"")</f>
        <v/>
      </c>
    </row>
    <row r="106" ht="30" customHeight="1">
      <c r="A106" s="13" t="n"/>
      <c r="B106" s="7" t="n"/>
      <c r="C106" s="11">
        <f>IF($B106="","",IFERROR(INDEX('例_顧客一覧'!$C$5:$C$104,MATCH($B106,'例_顧客一覧'!$A$5:$A$104,0))&amp;"","※顧客一覧にないID"))</f>
        <v/>
      </c>
      <c r="D106" s="7" t="n"/>
      <c r="E106" s="7" t="n"/>
      <c r="F106" s="14" t="n"/>
      <c r="G106" s="14" t="n"/>
      <c r="H106" s="13" t="n"/>
      <c r="I106" s="31" t="n"/>
      <c r="J106" s="12">
        <f>IF(ISNUMBER($A106),$A106+ROW()/100000,"")</f>
        <v/>
      </c>
      <c r="K106" s="12">
        <f>IF(AND(ISNUMBER($J106),$B106&lt;&gt;"",$B106='例_顧客カルテ'!$C$3),$J106,"")</f>
        <v/>
      </c>
    </row>
    <row r="107" ht="30" customHeight="1">
      <c r="A107" s="13" t="n"/>
      <c r="B107" s="7" t="n"/>
      <c r="C107" s="11">
        <f>IF($B107="","",IFERROR(INDEX('例_顧客一覧'!$C$5:$C$104,MATCH($B107,'例_顧客一覧'!$A$5:$A$104,0))&amp;"","※顧客一覧にないID"))</f>
        <v/>
      </c>
      <c r="D107" s="7" t="n"/>
      <c r="E107" s="7" t="n"/>
      <c r="F107" s="14" t="n"/>
      <c r="G107" s="14" t="n"/>
      <c r="H107" s="13" t="n"/>
      <c r="I107" s="31" t="n"/>
      <c r="J107" s="12">
        <f>IF(ISNUMBER($A107),$A107+ROW()/100000,"")</f>
        <v/>
      </c>
      <c r="K107" s="12">
        <f>IF(AND(ISNUMBER($J107),$B107&lt;&gt;"",$B107='例_顧客カルテ'!$C$3),$J107,"")</f>
        <v/>
      </c>
    </row>
    <row r="108" ht="30" customHeight="1">
      <c r="A108" s="13" t="n"/>
      <c r="B108" s="7" t="n"/>
      <c r="C108" s="11">
        <f>IF($B108="","",IFERROR(INDEX('例_顧客一覧'!$C$5:$C$104,MATCH($B108,'例_顧客一覧'!$A$5:$A$104,0))&amp;"","※顧客一覧にないID"))</f>
        <v/>
      </c>
      <c r="D108" s="7" t="n"/>
      <c r="E108" s="7" t="n"/>
      <c r="F108" s="14" t="n"/>
      <c r="G108" s="14" t="n"/>
      <c r="H108" s="13" t="n"/>
      <c r="I108" s="31" t="n"/>
      <c r="J108" s="12">
        <f>IF(ISNUMBER($A108),$A108+ROW()/100000,"")</f>
        <v/>
      </c>
      <c r="K108" s="12">
        <f>IF(AND(ISNUMBER($J108),$B108&lt;&gt;"",$B108='例_顧客カルテ'!$C$3),$J108,"")</f>
        <v/>
      </c>
    </row>
    <row r="109" ht="30" customHeight="1">
      <c r="A109" s="13" t="n"/>
      <c r="B109" s="7" t="n"/>
      <c r="C109" s="11">
        <f>IF($B109="","",IFERROR(INDEX('例_顧客一覧'!$C$5:$C$104,MATCH($B109,'例_顧客一覧'!$A$5:$A$104,0))&amp;"","※顧客一覧にないID"))</f>
        <v/>
      </c>
      <c r="D109" s="7" t="n"/>
      <c r="E109" s="7" t="n"/>
      <c r="F109" s="14" t="n"/>
      <c r="G109" s="14" t="n"/>
      <c r="H109" s="13" t="n"/>
      <c r="I109" s="31" t="n"/>
      <c r="J109" s="12">
        <f>IF(ISNUMBER($A109),$A109+ROW()/100000,"")</f>
        <v/>
      </c>
      <c r="K109" s="12">
        <f>IF(AND(ISNUMBER($J109),$B109&lt;&gt;"",$B109='例_顧客カルテ'!$C$3),$J109,"")</f>
        <v/>
      </c>
    </row>
    <row r="110" ht="30" customHeight="1">
      <c r="A110" s="13" t="n"/>
      <c r="B110" s="7" t="n"/>
      <c r="C110" s="11">
        <f>IF($B110="","",IFERROR(INDEX('例_顧客一覧'!$C$5:$C$104,MATCH($B110,'例_顧客一覧'!$A$5:$A$104,0))&amp;"","※顧客一覧にないID"))</f>
        <v/>
      </c>
      <c r="D110" s="7" t="n"/>
      <c r="E110" s="7" t="n"/>
      <c r="F110" s="14" t="n"/>
      <c r="G110" s="14" t="n"/>
      <c r="H110" s="13" t="n"/>
      <c r="I110" s="31" t="n"/>
      <c r="J110" s="12">
        <f>IF(ISNUMBER($A110),$A110+ROW()/100000,"")</f>
        <v/>
      </c>
      <c r="K110" s="12">
        <f>IF(AND(ISNUMBER($J110),$B110&lt;&gt;"",$B110='例_顧客カルテ'!$C$3),$J110,"")</f>
        <v/>
      </c>
    </row>
    <row r="111" ht="30" customHeight="1">
      <c r="A111" s="13" t="n"/>
      <c r="B111" s="7" t="n"/>
      <c r="C111" s="11">
        <f>IF($B111="","",IFERROR(INDEX('例_顧客一覧'!$C$5:$C$104,MATCH($B111,'例_顧客一覧'!$A$5:$A$104,0))&amp;"","※顧客一覧にないID"))</f>
        <v/>
      </c>
      <c r="D111" s="7" t="n"/>
      <c r="E111" s="7" t="n"/>
      <c r="F111" s="14" t="n"/>
      <c r="G111" s="14" t="n"/>
      <c r="H111" s="13" t="n"/>
      <c r="I111" s="31" t="n"/>
      <c r="J111" s="12">
        <f>IF(ISNUMBER($A111),$A111+ROW()/100000,"")</f>
        <v/>
      </c>
      <c r="K111" s="12">
        <f>IF(AND(ISNUMBER($J111),$B111&lt;&gt;"",$B111='例_顧客カルテ'!$C$3),$J111,"")</f>
        <v/>
      </c>
    </row>
    <row r="112" ht="30" customHeight="1">
      <c r="A112" s="13" t="n"/>
      <c r="B112" s="7" t="n"/>
      <c r="C112" s="11">
        <f>IF($B112="","",IFERROR(INDEX('例_顧客一覧'!$C$5:$C$104,MATCH($B112,'例_顧客一覧'!$A$5:$A$104,0))&amp;"","※顧客一覧にないID"))</f>
        <v/>
      </c>
      <c r="D112" s="7" t="n"/>
      <c r="E112" s="7" t="n"/>
      <c r="F112" s="14" t="n"/>
      <c r="G112" s="14" t="n"/>
      <c r="H112" s="13" t="n"/>
      <c r="I112" s="31" t="n"/>
      <c r="J112" s="12">
        <f>IF(ISNUMBER($A112),$A112+ROW()/100000,"")</f>
        <v/>
      </c>
      <c r="K112" s="12">
        <f>IF(AND(ISNUMBER($J112),$B112&lt;&gt;"",$B112='例_顧客カルテ'!$C$3),$J112,"")</f>
        <v/>
      </c>
    </row>
    <row r="113" ht="30" customHeight="1">
      <c r="A113" s="13" t="n"/>
      <c r="B113" s="7" t="n"/>
      <c r="C113" s="11">
        <f>IF($B113="","",IFERROR(INDEX('例_顧客一覧'!$C$5:$C$104,MATCH($B113,'例_顧客一覧'!$A$5:$A$104,0))&amp;"","※顧客一覧にないID"))</f>
        <v/>
      </c>
      <c r="D113" s="7" t="n"/>
      <c r="E113" s="7" t="n"/>
      <c r="F113" s="14" t="n"/>
      <c r="G113" s="14" t="n"/>
      <c r="H113" s="13" t="n"/>
      <c r="I113" s="31" t="n"/>
      <c r="J113" s="12">
        <f>IF(ISNUMBER($A113),$A113+ROW()/100000,"")</f>
        <v/>
      </c>
      <c r="K113" s="12">
        <f>IF(AND(ISNUMBER($J113),$B113&lt;&gt;"",$B113='例_顧客カルテ'!$C$3),$J113,"")</f>
        <v/>
      </c>
    </row>
    <row r="114" ht="30" customHeight="1">
      <c r="A114" s="13" t="n"/>
      <c r="B114" s="7" t="n"/>
      <c r="C114" s="11">
        <f>IF($B114="","",IFERROR(INDEX('例_顧客一覧'!$C$5:$C$104,MATCH($B114,'例_顧客一覧'!$A$5:$A$104,0))&amp;"","※顧客一覧にないID"))</f>
        <v/>
      </c>
      <c r="D114" s="7" t="n"/>
      <c r="E114" s="7" t="n"/>
      <c r="F114" s="14" t="n"/>
      <c r="G114" s="14" t="n"/>
      <c r="H114" s="13" t="n"/>
      <c r="I114" s="31" t="n"/>
      <c r="J114" s="12">
        <f>IF(ISNUMBER($A114),$A114+ROW()/100000,"")</f>
        <v/>
      </c>
      <c r="K114" s="12">
        <f>IF(AND(ISNUMBER($J114),$B114&lt;&gt;"",$B114='例_顧客カルテ'!$C$3),$J114,"")</f>
        <v/>
      </c>
    </row>
    <row r="115" ht="30" customHeight="1">
      <c r="A115" s="13" t="n"/>
      <c r="B115" s="7" t="n"/>
      <c r="C115" s="11">
        <f>IF($B115="","",IFERROR(INDEX('例_顧客一覧'!$C$5:$C$104,MATCH($B115,'例_顧客一覧'!$A$5:$A$104,0))&amp;"","※顧客一覧にないID"))</f>
        <v/>
      </c>
      <c r="D115" s="7" t="n"/>
      <c r="E115" s="7" t="n"/>
      <c r="F115" s="14" t="n"/>
      <c r="G115" s="14" t="n"/>
      <c r="H115" s="13" t="n"/>
      <c r="I115" s="31" t="n"/>
      <c r="J115" s="12">
        <f>IF(ISNUMBER($A115),$A115+ROW()/100000,"")</f>
        <v/>
      </c>
      <c r="K115" s="12">
        <f>IF(AND(ISNUMBER($J115),$B115&lt;&gt;"",$B115='例_顧客カルテ'!$C$3),$J115,"")</f>
        <v/>
      </c>
    </row>
    <row r="116" ht="30" customHeight="1">
      <c r="A116" s="13" t="n"/>
      <c r="B116" s="7" t="n"/>
      <c r="C116" s="11">
        <f>IF($B116="","",IFERROR(INDEX('例_顧客一覧'!$C$5:$C$104,MATCH($B116,'例_顧客一覧'!$A$5:$A$104,0))&amp;"","※顧客一覧にないID"))</f>
        <v/>
      </c>
      <c r="D116" s="7" t="n"/>
      <c r="E116" s="7" t="n"/>
      <c r="F116" s="14" t="n"/>
      <c r="G116" s="14" t="n"/>
      <c r="H116" s="13" t="n"/>
      <c r="I116" s="31" t="n"/>
      <c r="J116" s="12">
        <f>IF(ISNUMBER($A116),$A116+ROW()/100000,"")</f>
        <v/>
      </c>
      <c r="K116" s="12">
        <f>IF(AND(ISNUMBER($J116),$B116&lt;&gt;"",$B116='例_顧客カルテ'!$C$3),$J116,"")</f>
        <v/>
      </c>
    </row>
    <row r="117" ht="30" customHeight="1">
      <c r="A117" s="13" t="n"/>
      <c r="B117" s="7" t="n"/>
      <c r="C117" s="11">
        <f>IF($B117="","",IFERROR(INDEX('例_顧客一覧'!$C$5:$C$104,MATCH($B117,'例_顧客一覧'!$A$5:$A$104,0))&amp;"","※顧客一覧にないID"))</f>
        <v/>
      </c>
      <c r="D117" s="7" t="n"/>
      <c r="E117" s="7" t="n"/>
      <c r="F117" s="14" t="n"/>
      <c r="G117" s="14" t="n"/>
      <c r="H117" s="13" t="n"/>
      <c r="I117" s="31" t="n"/>
      <c r="J117" s="12">
        <f>IF(ISNUMBER($A117),$A117+ROW()/100000,"")</f>
        <v/>
      </c>
      <c r="K117" s="12">
        <f>IF(AND(ISNUMBER($J117),$B117&lt;&gt;"",$B117='例_顧客カルテ'!$C$3),$J117,"")</f>
        <v/>
      </c>
    </row>
    <row r="118" ht="30" customHeight="1">
      <c r="A118" s="13" t="n"/>
      <c r="B118" s="7" t="n"/>
      <c r="C118" s="11">
        <f>IF($B118="","",IFERROR(INDEX('例_顧客一覧'!$C$5:$C$104,MATCH($B118,'例_顧客一覧'!$A$5:$A$104,0))&amp;"","※顧客一覧にないID"))</f>
        <v/>
      </c>
      <c r="D118" s="7" t="n"/>
      <c r="E118" s="7" t="n"/>
      <c r="F118" s="14" t="n"/>
      <c r="G118" s="14" t="n"/>
      <c r="H118" s="13" t="n"/>
      <c r="I118" s="31" t="n"/>
      <c r="J118" s="12">
        <f>IF(ISNUMBER($A118),$A118+ROW()/100000,"")</f>
        <v/>
      </c>
      <c r="K118" s="12">
        <f>IF(AND(ISNUMBER($J118),$B118&lt;&gt;"",$B118='例_顧客カルテ'!$C$3),$J118,"")</f>
        <v/>
      </c>
    </row>
    <row r="119" ht="30" customHeight="1">
      <c r="A119" s="13" t="n"/>
      <c r="B119" s="7" t="n"/>
      <c r="C119" s="11">
        <f>IF($B119="","",IFERROR(INDEX('例_顧客一覧'!$C$5:$C$104,MATCH($B119,'例_顧客一覧'!$A$5:$A$104,0))&amp;"","※顧客一覧にないID"))</f>
        <v/>
      </c>
      <c r="D119" s="7" t="n"/>
      <c r="E119" s="7" t="n"/>
      <c r="F119" s="14" t="n"/>
      <c r="G119" s="14" t="n"/>
      <c r="H119" s="13" t="n"/>
      <c r="I119" s="31" t="n"/>
      <c r="J119" s="12">
        <f>IF(ISNUMBER($A119),$A119+ROW()/100000,"")</f>
        <v/>
      </c>
      <c r="K119" s="12">
        <f>IF(AND(ISNUMBER($J119),$B119&lt;&gt;"",$B119='例_顧客カルテ'!$C$3),$J119,"")</f>
        <v/>
      </c>
    </row>
    <row r="120" ht="30" customHeight="1">
      <c r="A120" s="13" t="n"/>
      <c r="B120" s="7" t="n"/>
      <c r="C120" s="11">
        <f>IF($B120="","",IFERROR(INDEX('例_顧客一覧'!$C$5:$C$104,MATCH($B120,'例_顧客一覧'!$A$5:$A$104,0))&amp;"","※顧客一覧にないID"))</f>
        <v/>
      </c>
      <c r="D120" s="7" t="n"/>
      <c r="E120" s="7" t="n"/>
      <c r="F120" s="14" t="n"/>
      <c r="G120" s="14" t="n"/>
      <c r="H120" s="13" t="n"/>
      <c r="I120" s="31" t="n"/>
      <c r="J120" s="12">
        <f>IF(ISNUMBER($A120),$A120+ROW()/100000,"")</f>
        <v/>
      </c>
      <c r="K120" s="12">
        <f>IF(AND(ISNUMBER($J120),$B120&lt;&gt;"",$B120='例_顧客カルテ'!$C$3),$J120,"")</f>
        <v/>
      </c>
    </row>
    <row r="121" ht="30" customHeight="1">
      <c r="A121" s="13" t="n"/>
      <c r="B121" s="7" t="n"/>
      <c r="C121" s="11">
        <f>IF($B121="","",IFERROR(INDEX('例_顧客一覧'!$C$5:$C$104,MATCH($B121,'例_顧客一覧'!$A$5:$A$104,0))&amp;"","※顧客一覧にないID"))</f>
        <v/>
      </c>
      <c r="D121" s="7" t="n"/>
      <c r="E121" s="7" t="n"/>
      <c r="F121" s="14" t="n"/>
      <c r="G121" s="14" t="n"/>
      <c r="H121" s="13" t="n"/>
      <c r="I121" s="31" t="n"/>
      <c r="J121" s="12">
        <f>IF(ISNUMBER($A121),$A121+ROW()/100000,"")</f>
        <v/>
      </c>
      <c r="K121" s="12">
        <f>IF(AND(ISNUMBER($J121),$B121&lt;&gt;"",$B121='例_顧客カルテ'!$C$3),$J121,"")</f>
        <v/>
      </c>
    </row>
    <row r="122" ht="30" customHeight="1">
      <c r="A122" s="13" t="n"/>
      <c r="B122" s="7" t="n"/>
      <c r="C122" s="11">
        <f>IF($B122="","",IFERROR(INDEX('例_顧客一覧'!$C$5:$C$104,MATCH($B122,'例_顧客一覧'!$A$5:$A$104,0))&amp;"","※顧客一覧にないID"))</f>
        <v/>
      </c>
      <c r="D122" s="7" t="n"/>
      <c r="E122" s="7" t="n"/>
      <c r="F122" s="14" t="n"/>
      <c r="G122" s="14" t="n"/>
      <c r="H122" s="13" t="n"/>
      <c r="I122" s="31" t="n"/>
      <c r="J122" s="12">
        <f>IF(ISNUMBER($A122),$A122+ROW()/100000,"")</f>
        <v/>
      </c>
      <c r="K122" s="12">
        <f>IF(AND(ISNUMBER($J122),$B122&lt;&gt;"",$B122='例_顧客カルテ'!$C$3),$J122,"")</f>
        <v/>
      </c>
    </row>
    <row r="123" ht="30" customHeight="1">
      <c r="A123" s="13" t="n"/>
      <c r="B123" s="7" t="n"/>
      <c r="C123" s="11">
        <f>IF($B123="","",IFERROR(INDEX('例_顧客一覧'!$C$5:$C$104,MATCH($B123,'例_顧客一覧'!$A$5:$A$104,0))&amp;"","※顧客一覧にないID"))</f>
        <v/>
      </c>
      <c r="D123" s="7" t="n"/>
      <c r="E123" s="7" t="n"/>
      <c r="F123" s="14" t="n"/>
      <c r="G123" s="14" t="n"/>
      <c r="H123" s="13" t="n"/>
      <c r="I123" s="31" t="n"/>
      <c r="J123" s="12">
        <f>IF(ISNUMBER($A123),$A123+ROW()/100000,"")</f>
        <v/>
      </c>
      <c r="K123" s="12">
        <f>IF(AND(ISNUMBER($J123),$B123&lt;&gt;"",$B123='例_顧客カルテ'!$C$3),$J123,"")</f>
        <v/>
      </c>
    </row>
    <row r="124" ht="30" customHeight="1">
      <c r="A124" s="13" t="n"/>
      <c r="B124" s="7" t="n"/>
      <c r="C124" s="11">
        <f>IF($B124="","",IFERROR(INDEX('例_顧客一覧'!$C$5:$C$104,MATCH($B124,'例_顧客一覧'!$A$5:$A$104,0))&amp;"","※顧客一覧にないID"))</f>
        <v/>
      </c>
      <c r="D124" s="7" t="n"/>
      <c r="E124" s="7" t="n"/>
      <c r="F124" s="14" t="n"/>
      <c r="G124" s="14" t="n"/>
      <c r="H124" s="13" t="n"/>
      <c r="I124" s="31" t="n"/>
      <c r="J124" s="12">
        <f>IF(ISNUMBER($A124),$A124+ROW()/100000,"")</f>
        <v/>
      </c>
      <c r="K124" s="12">
        <f>IF(AND(ISNUMBER($J124),$B124&lt;&gt;"",$B124='例_顧客カルテ'!$C$3),$J124,"")</f>
        <v/>
      </c>
    </row>
    <row r="125" ht="30" customHeight="1">
      <c r="A125" s="13" t="n"/>
      <c r="B125" s="7" t="n"/>
      <c r="C125" s="11">
        <f>IF($B125="","",IFERROR(INDEX('例_顧客一覧'!$C$5:$C$104,MATCH($B125,'例_顧客一覧'!$A$5:$A$104,0))&amp;"","※顧客一覧にないID"))</f>
        <v/>
      </c>
      <c r="D125" s="7" t="n"/>
      <c r="E125" s="7" t="n"/>
      <c r="F125" s="14" t="n"/>
      <c r="G125" s="14" t="n"/>
      <c r="H125" s="13" t="n"/>
      <c r="I125" s="31" t="n"/>
      <c r="J125" s="12">
        <f>IF(ISNUMBER($A125),$A125+ROW()/100000,"")</f>
        <v/>
      </c>
      <c r="K125" s="12">
        <f>IF(AND(ISNUMBER($J125),$B125&lt;&gt;"",$B125='例_顧客カルテ'!$C$3),$J125,"")</f>
        <v/>
      </c>
    </row>
    <row r="126" ht="30" customHeight="1">
      <c r="A126" s="13" t="n"/>
      <c r="B126" s="7" t="n"/>
      <c r="C126" s="11">
        <f>IF($B126="","",IFERROR(INDEX('例_顧客一覧'!$C$5:$C$104,MATCH($B126,'例_顧客一覧'!$A$5:$A$104,0))&amp;"","※顧客一覧にないID"))</f>
        <v/>
      </c>
      <c r="D126" s="7" t="n"/>
      <c r="E126" s="7" t="n"/>
      <c r="F126" s="14" t="n"/>
      <c r="G126" s="14" t="n"/>
      <c r="H126" s="13" t="n"/>
      <c r="I126" s="31" t="n"/>
      <c r="J126" s="12">
        <f>IF(ISNUMBER($A126),$A126+ROW()/100000,"")</f>
        <v/>
      </c>
      <c r="K126" s="12">
        <f>IF(AND(ISNUMBER($J126),$B126&lt;&gt;"",$B126='例_顧客カルテ'!$C$3),$J126,"")</f>
        <v/>
      </c>
    </row>
    <row r="127" ht="30" customHeight="1">
      <c r="A127" s="13" t="n"/>
      <c r="B127" s="7" t="n"/>
      <c r="C127" s="11">
        <f>IF($B127="","",IFERROR(INDEX('例_顧客一覧'!$C$5:$C$104,MATCH($B127,'例_顧客一覧'!$A$5:$A$104,0))&amp;"","※顧客一覧にないID"))</f>
        <v/>
      </c>
      <c r="D127" s="7" t="n"/>
      <c r="E127" s="7" t="n"/>
      <c r="F127" s="14" t="n"/>
      <c r="G127" s="14" t="n"/>
      <c r="H127" s="13" t="n"/>
      <c r="I127" s="31" t="n"/>
      <c r="J127" s="12">
        <f>IF(ISNUMBER($A127),$A127+ROW()/100000,"")</f>
        <v/>
      </c>
      <c r="K127" s="12">
        <f>IF(AND(ISNUMBER($J127),$B127&lt;&gt;"",$B127='例_顧客カルテ'!$C$3),$J127,"")</f>
        <v/>
      </c>
    </row>
    <row r="128" ht="30" customHeight="1">
      <c r="A128" s="13" t="n"/>
      <c r="B128" s="7" t="n"/>
      <c r="C128" s="11">
        <f>IF($B128="","",IFERROR(INDEX('例_顧客一覧'!$C$5:$C$104,MATCH($B128,'例_顧客一覧'!$A$5:$A$104,0))&amp;"","※顧客一覧にないID"))</f>
        <v/>
      </c>
      <c r="D128" s="7" t="n"/>
      <c r="E128" s="7" t="n"/>
      <c r="F128" s="14" t="n"/>
      <c r="G128" s="14" t="n"/>
      <c r="H128" s="13" t="n"/>
      <c r="I128" s="31" t="n"/>
      <c r="J128" s="12">
        <f>IF(ISNUMBER($A128),$A128+ROW()/100000,"")</f>
        <v/>
      </c>
      <c r="K128" s="12">
        <f>IF(AND(ISNUMBER($J128),$B128&lt;&gt;"",$B128='例_顧客カルテ'!$C$3),$J128,"")</f>
        <v/>
      </c>
    </row>
    <row r="129" ht="30" customHeight="1">
      <c r="A129" s="13" t="n"/>
      <c r="B129" s="7" t="n"/>
      <c r="C129" s="11">
        <f>IF($B129="","",IFERROR(INDEX('例_顧客一覧'!$C$5:$C$104,MATCH($B129,'例_顧客一覧'!$A$5:$A$104,0))&amp;"","※顧客一覧にないID"))</f>
        <v/>
      </c>
      <c r="D129" s="7" t="n"/>
      <c r="E129" s="7" t="n"/>
      <c r="F129" s="14" t="n"/>
      <c r="G129" s="14" t="n"/>
      <c r="H129" s="13" t="n"/>
      <c r="I129" s="31" t="n"/>
      <c r="J129" s="12">
        <f>IF(ISNUMBER($A129),$A129+ROW()/100000,"")</f>
        <v/>
      </c>
      <c r="K129" s="12">
        <f>IF(AND(ISNUMBER($J129),$B129&lt;&gt;"",$B129='例_顧客カルテ'!$C$3),$J129,"")</f>
        <v/>
      </c>
    </row>
    <row r="130" ht="30" customHeight="1">
      <c r="A130" s="13" t="n"/>
      <c r="B130" s="7" t="n"/>
      <c r="C130" s="11">
        <f>IF($B130="","",IFERROR(INDEX('例_顧客一覧'!$C$5:$C$104,MATCH($B130,'例_顧客一覧'!$A$5:$A$104,0))&amp;"","※顧客一覧にないID"))</f>
        <v/>
      </c>
      <c r="D130" s="7" t="n"/>
      <c r="E130" s="7" t="n"/>
      <c r="F130" s="14" t="n"/>
      <c r="G130" s="14" t="n"/>
      <c r="H130" s="13" t="n"/>
      <c r="I130" s="31" t="n"/>
      <c r="J130" s="12">
        <f>IF(ISNUMBER($A130),$A130+ROW()/100000,"")</f>
        <v/>
      </c>
      <c r="K130" s="12">
        <f>IF(AND(ISNUMBER($J130),$B130&lt;&gt;"",$B130='例_顧客カルテ'!$C$3),$J130,"")</f>
        <v/>
      </c>
    </row>
    <row r="131" ht="30" customHeight="1">
      <c r="A131" s="13" t="n"/>
      <c r="B131" s="7" t="n"/>
      <c r="C131" s="11">
        <f>IF($B131="","",IFERROR(INDEX('例_顧客一覧'!$C$5:$C$104,MATCH($B131,'例_顧客一覧'!$A$5:$A$104,0))&amp;"","※顧客一覧にないID"))</f>
        <v/>
      </c>
      <c r="D131" s="7" t="n"/>
      <c r="E131" s="7" t="n"/>
      <c r="F131" s="14" t="n"/>
      <c r="G131" s="14" t="n"/>
      <c r="H131" s="13" t="n"/>
      <c r="I131" s="31" t="n"/>
      <c r="J131" s="12">
        <f>IF(ISNUMBER($A131),$A131+ROW()/100000,"")</f>
        <v/>
      </c>
      <c r="K131" s="12">
        <f>IF(AND(ISNUMBER($J131),$B131&lt;&gt;"",$B131='例_顧客カルテ'!$C$3),$J131,"")</f>
        <v/>
      </c>
    </row>
    <row r="132" ht="30" customHeight="1">
      <c r="A132" s="13" t="n"/>
      <c r="B132" s="7" t="n"/>
      <c r="C132" s="11">
        <f>IF($B132="","",IFERROR(INDEX('例_顧客一覧'!$C$5:$C$104,MATCH($B132,'例_顧客一覧'!$A$5:$A$104,0))&amp;"","※顧客一覧にないID"))</f>
        <v/>
      </c>
      <c r="D132" s="7" t="n"/>
      <c r="E132" s="7" t="n"/>
      <c r="F132" s="14" t="n"/>
      <c r="G132" s="14" t="n"/>
      <c r="H132" s="13" t="n"/>
      <c r="I132" s="31" t="n"/>
      <c r="J132" s="12">
        <f>IF(ISNUMBER($A132),$A132+ROW()/100000,"")</f>
        <v/>
      </c>
      <c r="K132" s="12">
        <f>IF(AND(ISNUMBER($J132),$B132&lt;&gt;"",$B132='例_顧客カルテ'!$C$3),$J132,"")</f>
        <v/>
      </c>
    </row>
    <row r="133" ht="30" customHeight="1">
      <c r="A133" s="13" t="n"/>
      <c r="B133" s="7" t="n"/>
      <c r="C133" s="11">
        <f>IF($B133="","",IFERROR(INDEX('例_顧客一覧'!$C$5:$C$104,MATCH($B133,'例_顧客一覧'!$A$5:$A$104,0))&amp;"","※顧客一覧にないID"))</f>
        <v/>
      </c>
      <c r="D133" s="7" t="n"/>
      <c r="E133" s="7" t="n"/>
      <c r="F133" s="14" t="n"/>
      <c r="G133" s="14" t="n"/>
      <c r="H133" s="13" t="n"/>
      <c r="I133" s="31" t="n"/>
      <c r="J133" s="12">
        <f>IF(ISNUMBER($A133),$A133+ROW()/100000,"")</f>
        <v/>
      </c>
      <c r="K133" s="12">
        <f>IF(AND(ISNUMBER($J133),$B133&lt;&gt;"",$B133='例_顧客カルテ'!$C$3),$J133,"")</f>
        <v/>
      </c>
    </row>
    <row r="134" ht="30" customHeight="1">
      <c r="A134" s="13" t="n"/>
      <c r="B134" s="7" t="n"/>
      <c r="C134" s="11">
        <f>IF($B134="","",IFERROR(INDEX('例_顧客一覧'!$C$5:$C$104,MATCH($B134,'例_顧客一覧'!$A$5:$A$104,0))&amp;"","※顧客一覧にないID"))</f>
        <v/>
      </c>
      <c r="D134" s="7" t="n"/>
      <c r="E134" s="7" t="n"/>
      <c r="F134" s="14" t="n"/>
      <c r="G134" s="14" t="n"/>
      <c r="H134" s="13" t="n"/>
      <c r="I134" s="31" t="n"/>
      <c r="J134" s="12">
        <f>IF(ISNUMBER($A134),$A134+ROW()/100000,"")</f>
        <v/>
      </c>
      <c r="K134" s="12">
        <f>IF(AND(ISNUMBER($J134),$B134&lt;&gt;"",$B134='例_顧客カルテ'!$C$3),$J134,"")</f>
        <v/>
      </c>
    </row>
    <row r="135" ht="30" customHeight="1">
      <c r="A135" s="13" t="n"/>
      <c r="B135" s="7" t="n"/>
      <c r="C135" s="11">
        <f>IF($B135="","",IFERROR(INDEX('例_顧客一覧'!$C$5:$C$104,MATCH($B135,'例_顧客一覧'!$A$5:$A$104,0))&amp;"","※顧客一覧にないID"))</f>
        <v/>
      </c>
      <c r="D135" s="7" t="n"/>
      <c r="E135" s="7" t="n"/>
      <c r="F135" s="14" t="n"/>
      <c r="G135" s="14" t="n"/>
      <c r="H135" s="13" t="n"/>
      <c r="I135" s="31" t="n"/>
      <c r="J135" s="12">
        <f>IF(ISNUMBER($A135),$A135+ROW()/100000,"")</f>
        <v/>
      </c>
      <c r="K135" s="12">
        <f>IF(AND(ISNUMBER($J135),$B135&lt;&gt;"",$B135='例_顧客カルテ'!$C$3),$J135,"")</f>
        <v/>
      </c>
    </row>
    <row r="136" ht="30" customHeight="1">
      <c r="A136" s="13" t="n"/>
      <c r="B136" s="7" t="n"/>
      <c r="C136" s="11">
        <f>IF($B136="","",IFERROR(INDEX('例_顧客一覧'!$C$5:$C$104,MATCH($B136,'例_顧客一覧'!$A$5:$A$104,0))&amp;"","※顧客一覧にないID"))</f>
        <v/>
      </c>
      <c r="D136" s="7" t="n"/>
      <c r="E136" s="7" t="n"/>
      <c r="F136" s="14" t="n"/>
      <c r="G136" s="14" t="n"/>
      <c r="H136" s="13" t="n"/>
      <c r="I136" s="31" t="n"/>
      <c r="J136" s="12">
        <f>IF(ISNUMBER($A136),$A136+ROW()/100000,"")</f>
        <v/>
      </c>
      <c r="K136" s="12">
        <f>IF(AND(ISNUMBER($J136),$B136&lt;&gt;"",$B136='例_顧客カルテ'!$C$3),$J136,"")</f>
        <v/>
      </c>
    </row>
    <row r="137" ht="30" customHeight="1">
      <c r="A137" s="13" t="n"/>
      <c r="B137" s="7" t="n"/>
      <c r="C137" s="11">
        <f>IF($B137="","",IFERROR(INDEX('例_顧客一覧'!$C$5:$C$104,MATCH($B137,'例_顧客一覧'!$A$5:$A$104,0))&amp;"","※顧客一覧にないID"))</f>
        <v/>
      </c>
      <c r="D137" s="7" t="n"/>
      <c r="E137" s="7" t="n"/>
      <c r="F137" s="14" t="n"/>
      <c r="G137" s="14" t="n"/>
      <c r="H137" s="13" t="n"/>
      <c r="I137" s="31" t="n"/>
      <c r="J137" s="12">
        <f>IF(ISNUMBER($A137),$A137+ROW()/100000,"")</f>
        <v/>
      </c>
      <c r="K137" s="12">
        <f>IF(AND(ISNUMBER($J137),$B137&lt;&gt;"",$B137='例_顧客カルテ'!$C$3),$J137,"")</f>
        <v/>
      </c>
    </row>
    <row r="138" ht="30" customHeight="1">
      <c r="A138" s="13" t="n"/>
      <c r="B138" s="7" t="n"/>
      <c r="C138" s="11">
        <f>IF($B138="","",IFERROR(INDEX('例_顧客一覧'!$C$5:$C$104,MATCH($B138,'例_顧客一覧'!$A$5:$A$104,0))&amp;"","※顧客一覧にないID"))</f>
        <v/>
      </c>
      <c r="D138" s="7" t="n"/>
      <c r="E138" s="7" t="n"/>
      <c r="F138" s="14" t="n"/>
      <c r="G138" s="14" t="n"/>
      <c r="H138" s="13" t="n"/>
      <c r="I138" s="31" t="n"/>
      <c r="J138" s="12">
        <f>IF(ISNUMBER($A138),$A138+ROW()/100000,"")</f>
        <v/>
      </c>
      <c r="K138" s="12">
        <f>IF(AND(ISNUMBER($J138),$B138&lt;&gt;"",$B138='例_顧客カルテ'!$C$3),$J138,"")</f>
        <v/>
      </c>
    </row>
    <row r="139" ht="30" customHeight="1">
      <c r="A139" s="13" t="n"/>
      <c r="B139" s="7" t="n"/>
      <c r="C139" s="11">
        <f>IF($B139="","",IFERROR(INDEX('例_顧客一覧'!$C$5:$C$104,MATCH($B139,'例_顧客一覧'!$A$5:$A$104,0))&amp;"","※顧客一覧にないID"))</f>
        <v/>
      </c>
      <c r="D139" s="7" t="n"/>
      <c r="E139" s="7" t="n"/>
      <c r="F139" s="14" t="n"/>
      <c r="G139" s="14" t="n"/>
      <c r="H139" s="13" t="n"/>
      <c r="I139" s="31" t="n"/>
      <c r="J139" s="12">
        <f>IF(ISNUMBER($A139),$A139+ROW()/100000,"")</f>
        <v/>
      </c>
      <c r="K139" s="12">
        <f>IF(AND(ISNUMBER($J139),$B139&lt;&gt;"",$B139='例_顧客カルテ'!$C$3),$J139,"")</f>
        <v/>
      </c>
    </row>
    <row r="140" ht="30" customHeight="1">
      <c r="A140" s="13" t="n"/>
      <c r="B140" s="7" t="n"/>
      <c r="C140" s="11">
        <f>IF($B140="","",IFERROR(INDEX('例_顧客一覧'!$C$5:$C$104,MATCH($B140,'例_顧客一覧'!$A$5:$A$104,0))&amp;"","※顧客一覧にないID"))</f>
        <v/>
      </c>
      <c r="D140" s="7" t="n"/>
      <c r="E140" s="7" t="n"/>
      <c r="F140" s="14" t="n"/>
      <c r="G140" s="14" t="n"/>
      <c r="H140" s="13" t="n"/>
      <c r="I140" s="31" t="n"/>
      <c r="J140" s="12">
        <f>IF(ISNUMBER($A140),$A140+ROW()/100000,"")</f>
        <v/>
      </c>
      <c r="K140" s="12">
        <f>IF(AND(ISNUMBER($J140),$B140&lt;&gt;"",$B140='例_顧客カルテ'!$C$3),$J140,"")</f>
        <v/>
      </c>
    </row>
    <row r="141" ht="30" customHeight="1">
      <c r="A141" s="13" t="n"/>
      <c r="B141" s="7" t="n"/>
      <c r="C141" s="11">
        <f>IF($B141="","",IFERROR(INDEX('例_顧客一覧'!$C$5:$C$104,MATCH($B141,'例_顧客一覧'!$A$5:$A$104,0))&amp;"","※顧客一覧にないID"))</f>
        <v/>
      </c>
      <c r="D141" s="7" t="n"/>
      <c r="E141" s="7" t="n"/>
      <c r="F141" s="14" t="n"/>
      <c r="G141" s="14" t="n"/>
      <c r="H141" s="13" t="n"/>
      <c r="I141" s="31" t="n"/>
      <c r="J141" s="12">
        <f>IF(ISNUMBER($A141),$A141+ROW()/100000,"")</f>
        <v/>
      </c>
      <c r="K141" s="12">
        <f>IF(AND(ISNUMBER($J141),$B141&lt;&gt;"",$B141='例_顧客カルテ'!$C$3),$J141,"")</f>
        <v/>
      </c>
    </row>
    <row r="142" ht="30" customHeight="1">
      <c r="A142" s="13" t="n"/>
      <c r="B142" s="7" t="n"/>
      <c r="C142" s="11">
        <f>IF($B142="","",IFERROR(INDEX('例_顧客一覧'!$C$5:$C$104,MATCH($B142,'例_顧客一覧'!$A$5:$A$104,0))&amp;"","※顧客一覧にないID"))</f>
        <v/>
      </c>
      <c r="D142" s="7" t="n"/>
      <c r="E142" s="7" t="n"/>
      <c r="F142" s="14" t="n"/>
      <c r="G142" s="14" t="n"/>
      <c r="H142" s="13" t="n"/>
      <c r="I142" s="31" t="n"/>
      <c r="J142" s="12">
        <f>IF(ISNUMBER($A142),$A142+ROW()/100000,"")</f>
        <v/>
      </c>
      <c r="K142" s="12">
        <f>IF(AND(ISNUMBER($J142),$B142&lt;&gt;"",$B142='例_顧客カルテ'!$C$3),$J142,"")</f>
        <v/>
      </c>
    </row>
    <row r="143" ht="30" customHeight="1">
      <c r="A143" s="13" t="n"/>
      <c r="B143" s="7" t="n"/>
      <c r="C143" s="11">
        <f>IF($B143="","",IFERROR(INDEX('例_顧客一覧'!$C$5:$C$104,MATCH($B143,'例_顧客一覧'!$A$5:$A$104,0))&amp;"","※顧客一覧にないID"))</f>
        <v/>
      </c>
      <c r="D143" s="7" t="n"/>
      <c r="E143" s="7" t="n"/>
      <c r="F143" s="14" t="n"/>
      <c r="G143" s="14" t="n"/>
      <c r="H143" s="13" t="n"/>
      <c r="I143" s="31" t="n"/>
      <c r="J143" s="12">
        <f>IF(ISNUMBER($A143),$A143+ROW()/100000,"")</f>
        <v/>
      </c>
      <c r="K143" s="12">
        <f>IF(AND(ISNUMBER($J143),$B143&lt;&gt;"",$B143='例_顧客カルテ'!$C$3),$J143,"")</f>
        <v/>
      </c>
    </row>
    <row r="144" ht="30" customHeight="1">
      <c r="A144" s="13" t="n"/>
      <c r="B144" s="7" t="n"/>
      <c r="C144" s="11">
        <f>IF($B144="","",IFERROR(INDEX('例_顧客一覧'!$C$5:$C$104,MATCH($B144,'例_顧客一覧'!$A$5:$A$104,0))&amp;"","※顧客一覧にないID"))</f>
        <v/>
      </c>
      <c r="D144" s="7" t="n"/>
      <c r="E144" s="7" t="n"/>
      <c r="F144" s="14" t="n"/>
      <c r="G144" s="14" t="n"/>
      <c r="H144" s="13" t="n"/>
      <c r="I144" s="31" t="n"/>
      <c r="J144" s="12">
        <f>IF(ISNUMBER($A144),$A144+ROW()/100000,"")</f>
        <v/>
      </c>
      <c r="K144" s="12">
        <f>IF(AND(ISNUMBER($J144),$B144&lt;&gt;"",$B144='例_顧客カルテ'!$C$3),$J144,"")</f>
        <v/>
      </c>
    </row>
    <row r="145" ht="30" customHeight="1">
      <c r="A145" s="13" t="n"/>
      <c r="B145" s="7" t="n"/>
      <c r="C145" s="11">
        <f>IF($B145="","",IFERROR(INDEX('例_顧客一覧'!$C$5:$C$104,MATCH($B145,'例_顧客一覧'!$A$5:$A$104,0))&amp;"","※顧客一覧にないID"))</f>
        <v/>
      </c>
      <c r="D145" s="7" t="n"/>
      <c r="E145" s="7" t="n"/>
      <c r="F145" s="14" t="n"/>
      <c r="G145" s="14" t="n"/>
      <c r="H145" s="13" t="n"/>
      <c r="I145" s="31" t="n"/>
      <c r="J145" s="12">
        <f>IF(ISNUMBER($A145),$A145+ROW()/100000,"")</f>
        <v/>
      </c>
      <c r="K145" s="12">
        <f>IF(AND(ISNUMBER($J145),$B145&lt;&gt;"",$B145='例_顧客カルテ'!$C$3),$J145,"")</f>
        <v/>
      </c>
    </row>
    <row r="146" ht="30" customHeight="1">
      <c r="A146" s="13" t="n"/>
      <c r="B146" s="7" t="n"/>
      <c r="C146" s="11">
        <f>IF($B146="","",IFERROR(INDEX('例_顧客一覧'!$C$5:$C$104,MATCH($B146,'例_顧客一覧'!$A$5:$A$104,0))&amp;"","※顧客一覧にないID"))</f>
        <v/>
      </c>
      <c r="D146" s="7" t="n"/>
      <c r="E146" s="7" t="n"/>
      <c r="F146" s="14" t="n"/>
      <c r="G146" s="14" t="n"/>
      <c r="H146" s="13" t="n"/>
      <c r="I146" s="31" t="n"/>
      <c r="J146" s="12">
        <f>IF(ISNUMBER($A146),$A146+ROW()/100000,"")</f>
        <v/>
      </c>
      <c r="K146" s="12">
        <f>IF(AND(ISNUMBER($J146),$B146&lt;&gt;"",$B146='例_顧客カルテ'!$C$3),$J146,"")</f>
        <v/>
      </c>
    </row>
    <row r="147" ht="30" customHeight="1">
      <c r="A147" s="13" t="n"/>
      <c r="B147" s="7" t="n"/>
      <c r="C147" s="11">
        <f>IF($B147="","",IFERROR(INDEX('例_顧客一覧'!$C$5:$C$104,MATCH($B147,'例_顧客一覧'!$A$5:$A$104,0))&amp;"","※顧客一覧にないID"))</f>
        <v/>
      </c>
      <c r="D147" s="7" t="n"/>
      <c r="E147" s="7" t="n"/>
      <c r="F147" s="14" t="n"/>
      <c r="G147" s="14" t="n"/>
      <c r="H147" s="13" t="n"/>
      <c r="I147" s="31" t="n"/>
      <c r="J147" s="12">
        <f>IF(ISNUMBER($A147),$A147+ROW()/100000,"")</f>
        <v/>
      </c>
      <c r="K147" s="12">
        <f>IF(AND(ISNUMBER($J147),$B147&lt;&gt;"",$B147='例_顧客カルテ'!$C$3),$J147,"")</f>
        <v/>
      </c>
    </row>
    <row r="148" ht="30" customHeight="1">
      <c r="A148" s="13" t="n"/>
      <c r="B148" s="7" t="n"/>
      <c r="C148" s="11">
        <f>IF($B148="","",IFERROR(INDEX('例_顧客一覧'!$C$5:$C$104,MATCH($B148,'例_顧客一覧'!$A$5:$A$104,0))&amp;"","※顧客一覧にないID"))</f>
        <v/>
      </c>
      <c r="D148" s="7" t="n"/>
      <c r="E148" s="7" t="n"/>
      <c r="F148" s="14" t="n"/>
      <c r="G148" s="14" t="n"/>
      <c r="H148" s="13" t="n"/>
      <c r="I148" s="31" t="n"/>
      <c r="J148" s="12">
        <f>IF(ISNUMBER($A148),$A148+ROW()/100000,"")</f>
        <v/>
      </c>
      <c r="K148" s="12">
        <f>IF(AND(ISNUMBER($J148),$B148&lt;&gt;"",$B148='例_顧客カルテ'!$C$3),$J148,"")</f>
        <v/>
      </c>
    </row>
    <row r="149" ht="30" customHeight="1">
      <c r="A149" s="13" t="n"/>
      <c r="B149" s="7" t="n"/>
      <c r="C149" s="11">
        <f>IF($B149="","",IFERROR(INDEX('例_顧客一覧'!$C$5:$C$104,MATCH($B149,'例_顧客一覧'!$A$5:$A$104,0))&amp;"","※顧客一覧にないID"))</f>
        <v/>
      </c>
      <c r="D149" s="7" t="n"/>
      <c r="E149" s="7" t="n"/>
      <c r="F149" s="14" t="n"/>
      <c r="G149" s="14" t="n"/>
      <c r="H149" s="13" t="n"/>
      <c r="I149" s="31" t="n"/>
      <c r="J149" s="12">
        <f>IF(ISNUMBER($A149),$A149+ROW()/100000,"")</f>
        <v/>
      </c>
      <c r="K149" s="12">
        <f>IF(AND(ISNUMBER($J149),$B149&lt;&gt;"",$B149='例_顧客カルテ'!$C$3),$J149,"")</f>
        <v/>
      </c>
    </row>
    <row r="150" ht="30" customHeight="1">
      <c r="A150" s="13" t="n"/>
      <c r="B150" s="7" t="n"/>
      <c r="C150" s="11">
        <f>IF($B150="","",IFERROR(INDEX('例_顧客一覧'!$C$5:$C$104,MATCH($B150,'例_顧客一覧'!$A$5:$A$104,0))&amp;"","※顧客一覧にないID"))</f>
        <v/>
      </c>
      <c r="D150" s="7" t="n"/>
      <c r="E150" s="7" t="n"/>
      <c r="F150" s="14" t="n"/>
      <c r="G150" s="14" t="n"/>
      <c r="H150" s="13" t="n"/>
      <c r="I150" s="31" t="n"/>
      <c r="J150" s="12">
        <f>IF(ISNUMBER($A150),$A150+ROW()/100000,"")</f>
        <v/>
      </c>
      <c r="K150" s="12">
        <f>IF(AND(ISNUMBER($J150),$B150&lt;&gt;"",$B150='例_顧客カルテ'!$C$3),$J150,"")</f>
        <v/>
      </c>
    </row>
    <row r="151" ht="30" customHeight="1">
      <c r="A151" s="13" t="n"/>
      <c r="B151" s="7" t="n"/>
      <c r="C151" s="11">
        <f>IF($B151="","",IFERROR(INDEX('例_顧客一覧'!$C$5:$C$104,MATCH($B151,'例_顧客一覧'!$A$5:$A$104,0))&amp;"","※顧客一覧にないID"))</f>
        <v/>
      </c>
      <c r="D151" s="7" t="n"/>
      <c r="E151" s="7" t="n"/>
      <c r="F151" s="14" t="n"/>
      <c r="G151" s="14" t="n"/>
      <c r="H151" s="13" t="n"/>
      <c r="I151" s="31" t="n"/>
      <c r="J151" s="12">
        <f>IF(ISNUMBER($A151),$A151+ROW()/100000,"")</f>
        <v/>
      </c>
      <c r="K151" s="12">
        <f>IF(AND(ISNUMBER($J151),$B151&lt;&gt;"",$B151='例_顧客カルテ'!$C$3),$J151,"")</f>
        <v/>
      </c>
    </row>
    <row r="152" ht="30" customHeight="1">
      <c r="A152" s="13" t="n"/>
      <c r="B152" s="7" t="n"/>
      <c r="C152" s="11">
        <f>IF($B152="","",IFERROR(INDEX('例_顧客一覧'!$C$5:$C$104,MATCH($B152,'例_顧客一覧'!$A$5:$A$104,0))&amp;"","※顧客一覧にないID"))</f>
        <v/>
      </c>
      <c r="D152" s="7" t="n"/>
      <c r="E152" s="7" t="n"/>
      <c r="F152" s="14" t="n"/>
      <c r="G152" s="14" t="n"/>
      <c r="H152" s="13" t="n"/>
      <c r="I152" s="31" t="n"/>
      <c r="J152" s="12">
        <f>IF(ISNUMBER($A152),$A152+ROW()/100000,"")</f>
        <v/>
      </c>
      <c r="K152" s="12">
        <f>IF(AND(ISNUMBER($J152),$B152&lt;&gt;"",$B152='例_顧客カルテ'!$C$3),$J152,"")</f>
        <v/>
      </c>
    </row>
    <row r="153" ht="30" customHeight="1">
      <c r="A153" s="13" t="n"/>
      <c r="B153" s="7" t="n"/>
      <c r="C153" s="11">
        <f>IF($B153="","",IFERROR(INDEX('例_顧客一覧'!$C$5:$C$104,MATCH($B153,'例_顧客一覧'!$A$5:$A$104,0))&amp;"","※顧客一覧にないID"))</f>
        <v/>
      </c>
      <c r="D153" s="7" t="n"/>
      <c r="E153" s="7" t="n"/>
      <c r="F153" s="14" t="n"/>
      <c r="G153" s="14" t="n"/>
      <c r="H153" s="13" t="n"/>
      <c r="I153" s="31" t="n"/>
      <c r="J153" s="12">
        <f>IF(ISNUMBER($A153),$A153+ROW()/100000,"")</f>
        <v/>
      </c>
      <c r="K153" s="12">
        <f>IF(AND(ISNUMBER($J153),$B153&lt;&gt;"",$B153='例_顧客カルテ'!$C$3),$J153,"")</f>
        <v/>
      </c>
    </row>
    <row r="154" ht="30" customHeight="1">
      <c r="A154" s="13" t="n"/>
      <c r="B154" s="7" t="n"/>
      <c r="C154" s="11">
        <f>IF($B154="","",IFERROR(INDEX('例_顧客一覧'!$C$5:$C$104,MATCH($B154,'例_顧客一覧'!$A$5:$A$104,0))&amp;"","※顧客一覧にないID"))</f>
        <v/>
      </c>
      <c r="D154" s="7" t="n"/>
      <c r="E154" s="7" t="n"/>
      <c r="F154" s="14" t="n"/>
      <c r="G154" s="14" t="n"/>
      <c r="H154" s="13" t="n"/>
      <c r="I154" s="31" t="n"/>
      <c r="J154" s="12">
        <f>IF(ISNUMBER($A154),$A154+ROW()/100000,"")</f>
        <v/>
      </c>
      <c r="K154" s="12">
        <f>IF(AND(ISNUMBER($J154),$B154&lt;&gt;"",$B154='例_顧客カルテ'!$C$3),$J154,"")</f>
        <v/>
      </c>
    </row>
    <row r="155" ht="30" customHeight="1">
      <c r="A155" s="13" t="n"/>
      <c r="B155" s="7" t="n"/>
      <c r="C155" s="11">
        <f>IF($B155="","",IFERROR(INDEX('例_顧客一覧'!$C$5:$C$104,MATCH($B155,'例_顧客一覧'!$A$5:$A$104,0))&amp;"","※顧客一覧にないID"))</f>
        <v/>
      </c>
      <c r="D155" s="7" t="n"/>
      <c r="E155" s="7" t="n"/>
      <c r="F155" s="14" t="n"/>
      <c r="G155" s="14" t="n"/>
      <c r="H155" s="13" t="n"/>
      <c r="I155" s="31" t="n"/>
      <c r="J155" s="12">
        <f>IF(ISNUMBER($A155),$A155+ROW()/100000,"")</f>
        <v/>
      </c>
      <c r="K155" s="12">
        <f>IF(AND(ISNUMBER($J155),$B155&lt;&gt;"",$B155='例_顧客カルテ'!$C$3),$J155,"")</f>
        <v/>
      </c>
    </row>
    <row r="156" ht="30" customHeight="1">
      <c r="A156" s="13" t="n"/>
      <c r="B156" s="7" t="n"/>
      <c r="C156" s="11">
        <f>IF($B156="","",IFERROR(INDEX('例_顧客一覧'!$C$5:$C$104,MATCH($B156,'例_顧客一覧'!$A$5:$A$104,0))&amp;"","※顧客一覧にないID"))</f>
        <v/>
      </c>
      <c r="D156" s="7" t="n"/>
      <c r="E156" s="7" t="n"/>
      <c r="F156" s="14" t="n"/>
      <c r="G156" s="14" t="n"/>
      <c r="H156" s="13" t="n"/>
      <c r="I156" s="31" t="n"/>
      <c r="J156" s="12">
        <f>IF(ISNUMBER($A156),$A156+ROW()/100000,"")</f>
        <v/>
      </c>
      <c r="K156" s="12">
        <f>IF(AND(ISNUMBER($J156),$B156&lt;&gt;"",$B156='例_顧客カルテ'!$C$3),$J156,"")</f>
        <v/>
      </c>
    </row>
    <row r="157" ht="30" customHeight="1">
      <c r="A157" s="13" t="n"/>
      <c r="B157" s="7" t="n"/>
      <c r="C157" s="11">
        <f>IF($B157="","",IFERROR(INDEX('例_顧客一覧'!$C$5:$C$104,MATCH($B157,'例_顧客一覧'!$A$5:$A$104,0))&amp;"","※顧客一覧にないID"))</f>
        <v/>
      </c>
      <c r="D157" s="7" t="n"/>
      <c r="E157" s="7" t="n"/>
      <c r="F157" s="14" t="n"/>
      <c r="G157" s="14" t="n"/>
      <c r="H157" s="13" t="n"/>
      <c r="I157" s="31" t="n"/>
      <c r="J157" s="12">
        <f>IF(ISNUMBER($A157),$A157+ROW()/100000,"")</f>
        <v/>
      </c>
      <c r="K157" s="12">
        <f>IF(AND(ISNUMBER($J157),$B157&lt;&gt;"",$B157='例_顧客カルテ'!$C$3),$J157,"")</f>
        <v/>
      </c>
    </row>
    <row r="158" ht="30" customHeight="1">
      <c r="A158" s="13" t="n"/>
      <c r="B158" s="7" t="n"/>
      <c r="C158" s="11">
        <f>IF($B158="","",IFERROR(INDEX('例_顧客一覧'!$C$5:$C$104,MATCH($B158,'例_顧客一覧'!$A$5:$A$104,0))&amp;"","※顧客一覧にないID"))</f>
        <v/>
      </c>
      <c r="D158" s="7" t="n"/>
      <c r="E158" s="7" t="n"/>
      <c r="F158" s="14" t="n"/>
      <c r="G158" s="14" t="n"/>
      <c r="H158" s="13" t="n"/>
      <c r="I158" s="31" t="n"/>
      <c r="J158" s="12">
        <f>IF(ISNUMBER($A158),$A158+ROW()/100000,"")</f>
        <v/>
      </c>
      <c r="K158" s="12">
        <f>IF(AND(ISNUMBER($J158),$B158&lt;&gt;"",$B158='例_顧客カルテ'!$C$3),$J158,"")</f>
        <v/>
      </c>
    </row>
    <row r="159" ht="30" customHeight="1">
      <c r="A159" s="13" t="n"/>
      <c r="B159" s="7" t="n"/>
      <c r="C159" s="11">
        <f>IF($B159="","",IFERROR(INDEX('例_顧客一覧'!$C$5:$C$104,MATCH($B159,'例_顧客一覧'!$A$5:$A$104,0))&amp;"","※顧客一覧にないID"))</f>
        <v/>
      </c>
      <c r="D159" s="7" t="n"/>
      <c r="E159" s="7" t="n"/>
      <c r="F159" s="14" t="n"/>
      <c r="G159" s="14" t="n"/>
      <c r="H159" s="13" t="n"/>
      <c r="I159" s="31" t="n"/>
      <c r="J159" s="12">
        <f>IF(ISNUMBER($A159),$A159+ROW()/100000,"")</f>
        <v/>
      </c>
      <c r="K159" s="12">
        <f>IF(AND(ISNUMBER($J159),$B159&lt;&gt;"",$B159='例_顧客カルテ'!$C$3),$J159,"")</f>
        <v/>
      </c>
    </row>
    <row r="160" ht="30" customHeight="1">
      <c r="A160" s="13" t="n"/>
      <c r="B160" s="7" t="n"/>
      <c r="C160" s="11">
        <f>IF($B160="","",IFERROR(INDEX('例_顧客一覧'!$C$5:$C$104,MATCH($B160,'例_顧客一覧'!$A$5:$A$104,0))&amp;"","※顧客一覧にないID"))</f>
        <v/>
      </c>
      <c r="D160" s="7" t="n"/>
      <c r="E160" s="7" t="n"/>
      <c r="F160" s="14" t="n"/>
      <c r="G160" s="14" t="n"/>
      <c r="H160" s="13" t="n"/>
      <c r="I160" s="31" t="n"/>
      <c r="J160" s="12">
        <f>IF(ISNUMBER($A160),$A160+ROW()/100000,"")</f>
        <v/>
      </c>
      <c r="K160" s="12">
        <f>IF(AND(ISNUMBER($J160),$B160&lt;&gt;"",$B160='例_顧客カルテ'!$C$3),$J160,"")</f>
        <v/>
      </c>
    </row>
    <row r="161" ht="30" customHeight="1">
      <c r="A161" s="13" t="n"/>
      <c r="B161" s="7" t="n"/>
      <c r="C161" s="11">
        <f>IF($B161="","",IFERROR(INDEX('例_顧客一覧'!$C$5:$C$104,MATCH($B161,'例_顧客一覧'!$A$5:$A$104,0))&amp;"","※顧客一覧にないID"))</f>
        <v/>
      </c>
      <c r="D161" s="7" t="n"/>
      <c r="E161" s="7" t="n"/>
      <c r="F161" s="14" t="n"/>
      <c r="G161" s="14" t="n"/>
      <c r="H161" s="13" t="n"/>
      <c r="I161" s="31" t="n"/>
      <c r="J161" s="12">
        <f>IF(ISNUMBER($A161),$A161+ROW()/100000,"")</f>
        <v/>
      </c>
      <c r="K161" s="12">
        <f>IF(AND(ISNUMBER($J161),$B161&lt;&gt;"",$B161='例_顧客カルテ'!$C$3),$J161,"")</f>
        <v/>
      </c>
    </row>
    <row r="162" ht="30" customHeight="1">
      <c r="A162" s="13" t="n"/>
      <c r="B162" s="7" t="n"/>
      <c r="C162" s="11">
        <f>IF($B162="","",IFERROR(INDEX('例_顧客一覧'!$C$5:$C$104,MATCH($B162,'例_顧客一覧'!$A$5:$A$104,0))&amp;"","※顧客一覧にないID"))</f>
        <v/>
      </c>
      <c r="D162" s="7" t="n"/>
      <c r="E162" s="7" t="n"/>
      <c r="F162" s="14" t="n"/>
      <c r="G162" s="14" t="n"/>
      <c r="H162" s="13" t="n"/>
      <c r="I162" s="31" t="n"/>
      <c r="J162" s="12">
        <f>IF(ISNUMBER($A162),$A162+ROW()/100000,"")</f>
        <v/>
      </c>
      <c r="K162" s="12">
        <f>IF(AND(ISNUMBER($J162),$B162&lt;&gt;"",$B162='例_顧客カルテ'!$C$3),$J162,"")</f>
        <v/>
      </c>
    </row>
    <row r="163" ht="30" customHeight="1">
      <c r="A163" s="13" t="n"/>
      <c r="B163" s="7" t="n"/>
      <c r="C163" s="11">
        <f>IF($B163="","",IFERROR(INDEX('例_顧客一覧'!$C$5:$C$104,MATCH($B163,'例_顧客一覧'!$A$5:$A$104,0))&amp;"","※顧客一覧にないID"))</f>
        <v/>
      </c>
      <c r="D163" s="7" t="n"/>
      <c r="E163" s="7" t="n"/>
      <c r="F163" s="14" t="n"/>
      <c r="G163" s="14" t="n"/>
      <c r="H163" s="13" t="n"/>
      <c r="I163" s="31" t="n"/>
      <c r="J163" s="12">
        <f>IF(ISNUMBER($A163),$A163+ROW()/100000,"")</f>
        <v/>
      </c>
      <c r="K163" s="12">
        <f>IF(AND(ISNUMBER($J163),$B163&lt;&gt;"",$B163='例_顧客カルテ'!$C$3),$J163,"")</f>
        <v/>
      </c>
    </row>
    <row r="164" ht="30" customHeight="1">
      <c r="A164" s="13" t="n"/>
      <c r="B164" s="7" t="n"/>
      <c r="C164" s="11">
        <f>IF($B164="","",IFERROR(INDEX('例_顧客一覧'!$C$5:$C$104,MATCH($B164,'例_顧客一覧'!$A$5:$A$104,0))&amp;"","※顧客一覧にないID"))</f>
        <v/>
      </c>
      <c r="D164" s="7" t="n"/>
      <c r="E164" s="7" t="n"/>
      <c r="F164" s="14" t="n"/>
      <c r="G164" s="14" t="n"/>
      <c r="H164" s="13" t="n"/>
      <c r="I164" s="31" t="n"/>
      <c r="J164" s="12">
        <f>IF(ISNUMBER($A164),$A164+ROW()/100000,"")</f>
        <v/>
      </c>
      <c r="K164" s="12">
        <f>IF(AND(ISNUMBER($J164),$B164&lt;&gt;"",$B164='例_顧客カルテ'!$C$3),$J164,"")</f>
        <v/>
      </c>
    </row>
    <row r="165" ht="30" customHeight="1">
      <c r="A165" s="13" t="n"/>
      <c r="B165" s="7" t="n"/>
      <c r="C165" s="11">
        <f>IF($B165="","",IFERROR(INDEX('例_顧客一覧'!$C$5:$C$104,MATCH($B165,'例_顧客一覧'!$A$5:$A$104,0))&amp;"","※顧客一覧にないID"))</f>
        <v/>
      </c>
      <c r="D165" s="7" t="n"/>
      <c r="E165" s="7" t="n"/>
      <c r="F165" s="14" t="n"/>
      <c r="G165" s="14" t="n"/>
      <c r="H165" s="13" t="n"/>
      <c r="I165" s="31" t="n"/>
      <c r="J165" s="12">
        <f>IF(ISNUMBER($A165),$A165+ROW()/100000,"")</f>
        <v/>
      </c>
      <c r="K165" s="12">
        <f>IF(AND(ISNUMBER($J165),$B165&lt;&gt;"",$B165='例_顧客カルテ'!$C$3),$J165,"")</f>
        <v/>
      </c>
    </row>
    <row r="166" ht="30" customHeight="1">
      <c r="A166" s="13" t="n"/>
      <c r="B166" s="7" t="n"/>
      <c r="C166" s="11">
        <f>IF($B166="","",IFERROR(INDEX('例_顧客一覧'!$C$5:$C$104,MATCH($B166,'例_顧客一覧'!$A$5:$A$104,0))&amp;"","※顧客一覧にないID"))</f>
        <v/>
      </c>
      <c r="D166" s="7" t="n"/>
      <c r="E166" s="7" t="n"/>
      <c r="F166" s="14" t="n"/>
      <c r="G166" s="14" t="n"/>
      <c r="H166" s="13" t="n"/>
      <c r="I166" s="31" t="n"/>
      <c r="J166" s="12">
        <f>IF(ISNUMBER($A166),$A166+ROW()/100000,"")</f>
        <v/>
      </c>
      <c r="K166" s="12">
        <f>IF(AND(ISNUMBER($J166),$B166&lt;&gt;"",$B166='例_顧客カルテ'!$C$3),$J166,"")</f>
        <v/>
      </c>
    </row>
    <row r="167" ht="30" customHeight="1">
      <c r="A167" s="13" t="n"/>
      <c r="B167" s="7" t="n"/>
      <c r="C167" s="11">
        <f>IF($B167="","",IFERROR(INDEX('例_顧客一覧'!$C$5:$C$104,MATCH($B167,'例_顧客一覧'!$A$5:$A$104,0))&amp;"","※顧客一覧にないID"))</f>
        <v/>
      </c>
      <c r="D167" s="7" t="n"/>
      <c r="E167" s="7" t="n"/>
      <c r="F167" s="14" t="n"/>
      <c r="G167" s="14" t="n"/>
      <c r="H167" s="13" t="n"/>
      <c r="I167" s="31" t="n"/>
      <c r="J167" s="12">
        <f>IF(ISNUMBER($A167),$A167+ROW()/100000,"")</f>
        <v/>
      </c>
      <c r="K167" s="12">
        <f>IF(AND(ISNUMBER($J167),$B167&lt;&gt;"",$B167='例_顧客カルテ'!$C$3),$J167,"")</f>
        <v/>
      </c>
    </row>
    <row r="168" ht="30" customHeight="1">
      <c r="A168" s="13" t="n"/>
      <c r="B168" s="7" t="n"/>
      <c r="C168" s="11">
        <f>IF($B168="","",IFERROR(INDEX('例_顧客一覧'!$C$5:$C$104,MATCH($B168,'例_顧客一覧'!$A$5:$A$104,0))&amp;"","※顧客一覧にないID"))</f>
        <v/>
      </c>
      <c r="D168" s="7" t="n"/>
      <c r="E168" s="7" t="n"/>
      <c r="F168" s="14" t="n"/>
      <c r="G168" s="14" t="n"/>
      <c r="H168" s="13" t="n"/>
      <c r="I168" s="31" t="n"/>
      <c r="J168" s="12">
        <f>IF(ISNUMBER($A168),$A168+ROW()/100000,"")</f>
        <v/>
      </c>
      <c r="K168" s="12">
        <f>IF(AND(ISNUMBER($J168),$B168&lt;&gt;"",$B168='例_顧客カルテ'!$C$3),$J168,"")</f>
        <v/>
      </c>
    </row>
    <row r="169" ht="30" customHeight="1">
      <c r="A169" s="13" t="n"/>
      <c r="B169" s="7" t="n"/>
      <c r="C169" s="11">
        <f>IF($B169="","",IFERROR(INDEX('例_顧客一覧'!$C$5:$C$104,MATCH($B169,'例_顧客一覧'!$A$5:$A$104,0))&amp;"","※顧客一覧にないID"))</f>
        <v/>
      </c>
      <c r="D169" s="7" t="n"/>
      <c r="E169" s="7" t="n"/>
      <c r="F169" s="14" t="n"/>
      <c r="G169" s="14" t="n"/>
      <c r="H169" s="13" t="n"/>
      <c r="I169" s="31" t="n"/>
      <c r="J169" s="12">
        <f>IF(ISNUMBER($A169),$A169+ROW()/100000,"")</f>
        <v/>
      </c>
      <c r="K169" s="12">
        <f>IF(AND(ISNUMBER($J169),$B169&lt;&gt;"",$B169='例_顧客カルテ'!$C$3),$J169,"")</f>
        <v/>
      </c>
    </row>
    <row r="170" ht="30" customHeight="1">
      <c r="A170" s="13" t="n"/>
      <c r="B170" s="7" t="n"/>
      <c r="C170" s="11">
        <f>IF($B170="","",IFERROR(INDEX('例_顧客一覧'!$C$5:$C$104,MATCH($B170,'例_顧客一覧'!$A$5:$A$104,0))&amp;"","※顧客一覧にないID"))</f>
        <v/>
      </c>
      <c r="D170" s="7" t="n"/>
      <c r="E170" s="7" t="n"/>
      <c r="F170" s="14" t="n"/>
      <c r="G170" s="14" t="n"/>
      <c r="H170" s="13" t="n"/>
      <c r="I170" s="31" t="n"/>
      <c r="J170" s="12">
        <f>IF(ISNUMBER($A170),$A170+ROW()/100000,"")</f>
        <v/>
      </c>
      <c r="K170" s="12">
        <f>IF(AND(ISNUMBER($J170),$B170&lt;&gt;"",$B170='例_顧客カルテ'!$C$3),$J170,"")</f>
        <v/>
      </c>
    </row>
    <row r="171" ht="30" customHeight="1">
      <c r="A171" s="13" t="n"/>
      <c r="B171" s="7" t="n"/>
      <c r="C171" s="11">
        <f>IF($B171="","",IFERROR(INDEX('例_顧客一覧'!$C$5:$C$104,MATCH($B171,'例_顧客一覧'!$A$5:$A$104,0))&amp;"","※顧客一覧にないID"))</f>
        <v/>
      </c>
      <c r="D171" s="7" t="n"/>
      <c r="E171" s="7" t="n"/>
      <c r="F171" s="14" t="n"/>
      <c r="G171" s="14" t="n"/>
      <c r="H171" s="13" t="n"/>
      <c r="I171" s="31" t="n"/>
      <c r="J171" s="12">
        <f>IF(ISNUMBER($A171),$A171+ROW()/100000,"")</f>
        <v/>
      </c>
      <c r="K171" s="12">
        <f>IF(AND(ISNUMBER($J171),$B171&lt;&gt;"",$B171='例_顧客カルテ'!$C$3),$J171,"")</f>
        <v/>
      </c>
    </row>
    <row r="172" ht="30" customHeight="1">
      <c r="A172" s="13" t="n"/>
      <c r="B172" s="7" t="n"/>
      <c r="C172" s="11">
        <f>IF($B172="","",IFERROR(INDEX('例_顧客一覧'!$C$5:$C$104,MATCH($B172,'例_顧客一覧'!$A$5:$A$104,0))&amp;"","※顧客一覧にないID"))</f>
        <v/>
      </c>
      <c r="D172" s="7" t="n"/>
      <c r="E172" s="7" t="n"/>
      <c r="F172" s="14" t="n"/>
      <c r="G172" s="14" t="n"/>
      <c r="H172" s="13" t="n"/>
      <c r="I172" s="31" t="n"/>
      <c r="J172" s="12">
        <f>IF(ISNUMBER($A172),$A172+ROW()/100000,"")</f>
        <v/>
      </c>
      <c r="K172" s="12">
        <f>IF(AND(ISNUMBER($J172),$B172&lt;&gt;"",$B172='例_顧客カルテ'!$C$3),$J172,"")</f>
        <v/>
      </c>
    </row>
    <row r="173" ht="30" customHeight="1">
      <c r="A173" s="13" t="n"/>
      <c r="B173" s="7" t="n"/>
      <c r="C173" s="11">
        <f>IF($B173="","",IFERROR(INDEX('例_顧客一覧'!$C$5:$C$104,MATCH($B173,'例_顧客一覧'!$A$5:$A$104,0))&amp;"","※顧客一覧にないID"))</f>
        <v/>
      </c>
      <c r="D173" s="7" t="n"/>
      <c r="E173" s="7" t="n"/>
      <c r="F173" s="14" t="n"/>
      <c r="G173" s="14" t="n"/>
      <c r="H173" s="13" t="n"/>
      <c r="I173" s="31" t="n"/>
      <c r="J173" s="12">
        <f>IF(ISNUMBER($A173),$A173+ROW()/100000,"")</f>
        <v/>
      </c>
      <c r="K173" s="12">
        <f>IF(AND(ISNUMBER($J173),$B173&lt;&gt;"",$B173='例_顧客カルテ'!$C$3),$J173,"")</f>
        <v/>
      </c>
    </row>
    <row r="174" ht="30" customHeight="1">
      <c r="A174" s="13" t="n"/>
      <c r="B174" s="7" t="n"/>
      <c r="C174" s="11">
        <f>IF($B174="","",IFERROR(INDEX('例_顧客一覧'!$C$5:$C$104,MATCH($B174,'例_顧客一覧'!$A$5:$A$104,0))&amp;"","※顧客一覧にないID"))</f>
        <v/>
      </c>
      <c r="D174" s="7" t="n"/>
      <c r="E174" s="7" t="n"/>
      <c r="F174" s="14" t="n"/>
      <c r="G174" s="14" t="n"/>
      <c r="H174" s="13" t="n"/>
      <c r="I174" s="31" t="n"/>
      <c r="J174" s="12">
        <f>IF(ISNUMBER($A174),$A174+ROW()/100000,"")</f>
        <v/>
      </c>
      <c r="K174" s="12">
        <f>IF(AND(ISNUMBER($J174),$B174&lt;&gt;"",$B174='例_顧客カルテ'!$C$3),$J174,"")</f>
        <v/>
      </c>
    </row>
    <row r="175" ht="30" customHeight="1">
      <c r="A175" s="13" t="n"/>
      <c r="B175" s="7" t="n"/>
      <c r="C175" s="11">
        <f>IF($B175="","",IFERROR(INDEX('例_顧客一覧'!$C$5:$C$104,MATCH($B175,'例_顧客一覧'!$A$5:$A$104,0))&amp;"","※顧客一覧にないID"))</f>
        <v/>
      </c>
      <c r="D175" s="7" t="n"/>
      <c r="E175" s="7" t="n"/>
      <c r="F175" s="14" t="n"/>
      <c r="G175" s="14" t="n"/>
      <c r="H175" s="13" t="n"/>
      <c r="I175" s="31" t="n"/>
      <c r="J175" s="12">
        <f>IF(ISNUMBER($A175),$A175+ROW()/100000,"")</f>
        <v/>
      </c>
      <c r="K175" s="12">
        <f>IF(AND(ISNUMBER($J175),$B175&lt;&gt;"",$B175='例_顧客カルテ'!$C$3),$J175,"")</f>
        <v/>
      </c>
    </row>
    <row r="176" ht="30" customHeight="1">
      <c r="A176" s="13" t="n"/>
      <c r="B176" s="7" t="n"/>
      <c r="C176" s="11">
        <f>IF($B176="","",IFERROR(INDEX('例_顧客一覧'!$C$5:$C$104,MATCH($B176,'例_顧客一覧'!$A$5:$A$104,0))&amp;"","※顧客一覧にないID"))</f>
        <v/>
      </c>
      <c r="D176" s="7" t="n"/>
      <c r="E176" s="7" t="n"/>
      <c r="F176" s="14" t="n"/>
      <c r="G176" s="14" t="n"/>
      <c r="H176" s="13" t="n"/>
      <c r="I176" s="31" t="n"/>
      <c r="J176" s="12">
        <f>IF(ISNUMBER($A176),$A176+ROW()/100000,"")</f>
        <v/>
      </c>
      <c r="K176" s="12">
        <f>IF(AND(ISNUMBER($J176),$B176&lt;&gt;"",$B176='例_顧客カルテ'!$C$3),$J176,"")</f>
        <v/>
      </c>
    </row>
    <row r="177" ht="30" customHeight="1">
      <c r="A177" s="13" t="n"/>
      <c r="B177" s="7" t="n"/>
      <c r="C177" s="11">
        <f>IF($B177="","",IFERROR(INDEX('例_顧客一覧'!$C$5:$C$104,MATCH($B177,'例_顧客一覧'!$A$5:$A$104,0))&amp;"","※顧客一覧にないID"))</f>
        <v/>
      </c>
      <c r="D177" s="7" t="n"/>
      <c r="E177" s="7" t="n"/>
      <c r="F177" s="14" t="n"/>
      <c r="G177" s="14" t="n"/>
      <c r="H177" s="13" t="n"/>
      <c r="I177" s="31" t="n"/>
      <c r="J177" s="12">
        <f>IF(ISNUMBER($A177),$A177+ROW()/100000,"")</f>
        <v/>
      </c>
      <c r="K177" s="12">
        <f>IF(AND(ISNUMBER($J177),$B177&lt;&gt;"",$B177='例_顧客カルテ'!$C$3),$J177,"")</f>
        <v/>
      </c>
    </row>
    <row r="178" ht="30" customHeight="1">
      <c r="A178" s="13" t="n"/>
      <c r="B178" s="7" t="n"/>
      <c r="C178" s="11">
        <f>IF($B178="","",IFERROR(INDEX('例_顧客一覧'!$C$5:$C$104,MATCH($B178,'例_顧客一覧'!$A$5:$A$104,0))&amp;"","※顧客一覧にないID"))</f>
        <v/>
      </c>
      <c r="D178" s="7" t="n"/>
      <c r="E178" s="7" t="n"/>
      <c r="F178" s="14" t="n"/>
      <c r="G178" s="14" t="n"/>
      <c r="H178" s="13" t="n"/>
      <c r="I178" s="31" t="n"/>
      <c r="J178" s="12">
        <f>IF(ISNUMBER($A178),$A178+ROW()/100000,"")</f>
        <v/>
      </c>
      <c r="K178" s="12">
        <f>IF(AND(ISNUMBER($J178),$B178&lt;&gt;"",$B178='例_顧客カルテ'!$C$3),$J178,"")</f>
        <v/>
      </c>
    </row>
    <row r="179" ht="30" customHeight="1">
      <c r="A179" s="13" t="n"/>
      <c r="B179" s="7" t="n"/>
      <c r="C179" s="11">
        <f>IF($B179="","",IFERROR(INDEX('例_顧客一覧'!$C$5:$C$104,MATCH($B179,'例_顧客一覧'!$A$5:$A$104,0))&amp;"","※顧客一覧にないID"))</f>
        <v/>
      </c>
      <c r="D179" s="7" t="n"/>
      <c r="E179" s="7" t="n"/>
      <c r="F179" s="14" t="n"/>
      <c r="G179" s="14" t="n"/>
      <c r="H179" s="13" t="n"/>
      <c r="I179" s="31" t="n"/>
      <c r="J179" s="12">
        <f>IF(ISNUMBER($A179),$A179+ROW()/100000,"")</f>
        <v/>
      </c>
      <c r="K179" s="12">
        <f>IF(AND(ISNUMBER($J179),$B179&lt;&gt;"",$B179='例_顧客カルテ'!$C$3),$J179,"")</f>
        <v/>
      </c>
    </row>
    <row r="180" ht="30" customHeight="1">
      <c r="A180" s="13" t="n"/>
      <c r="B180" s="7" t="n"/>
      <c r="C180" s="11">
        <f>IF($B180="","",IFERROR(INDEX('例_顧客一覧'!$C$5:$C$104,MATCH($B180,'例_顧客一覧'!$A$5:$A$104,0))&amp;"","※顧客一覧にないID"))</f>
        <v/>
      </c>
      <c r="D180" s="7" t="n"/>
      <c r="E180" s="7" t="n"/>
      <c r="F180" s="14" t="n"/>
      <c r="G180" s="14" t="n"/>
      <c r="H180" s="13" t="n"/>
      <c r="I180" s="31" t="n"/>
      <c r="J180" s="12">
        <f>IF(ISNUMBER($A180),$A180+ROW()/100000,"")</f>
        <v/>
      </c>
      <c r="K180" s="12">
        <f>IF(AND(ISNUMBER($J180),$B180&lt;&gt;"",$B180='例_顧客カルテ'!$C$3),$J180,"")</f>
        <v/>
      </c>
    </row>
    <row r="181" ht="30" customHeight="1">
      <c r="A181" s="13" t="n"/>
      <c r="B181" s="7" t="n"/>
      <c r="C181" s="11">
        <f>IF($B181="","",IFERROR(INDEX('例_顧客一覧'!$C$5:$C$104,MATCH($B181,'例_顧客一覧'!$A$5:$A$104,0))&amp;"","※顧客一覧にないID"))</f>
        <v/>
      </c>
      <c r="D181" s="7" t="n"/>
      <c r="E181" s="7" t="n"/>
      <c r="F181" s="14" t="n"/>
      <c r="G181" s="14" t="n"/>
      <c r="H181" s="13" t="n"/>
      <c r="I181" s="31" t="n"/>
      <c r="J181" s="12">
        <f>IF(ISNUMBER($A181),$A181+ROW()/100000,"")</f>
        <v/>
      </c>
      <c r="K181" s="12">
        <f>IF(AND(ISNUMBER($J181),$B181&lt;&gt;"",$B181='例_顧客カルテ'!$C$3),$J181,"")</f>
        <v/>
      </c>
    </row>
    <row r="182" ht="30" customHeight="1">
      <c r="A182" s="13" t="n"/>
      <c r="B182" s="7" t="n"/>
      <c r="C182" s="11">
        <f>IF($B182="","",IFERROR(INDEX('例_顧客一覧'!$C$5:$C$104,MATCH($B182,'例_顧客一覧'!$A$5:$A$104,0))&amp;"","※顧客一覧にないID"))</f>
        <v/>
      </c>
      <c r="D182" s="7" t="n"/>
      <c r="E182" s="7" t="n"/>
      <c r="F182" s="14" t="n"/>
      <c r="G182" s="14" t="n"/>
      <c r="H182" s="13" t="n"/>
      <c r="I182" s="31" t="n"/>
      <c r="J182" s="12">
        <f>IF(ISNUMBER($A182),$A182+ROW()/100000,"")</f>
        <v/>
      </c>
      <c r="K182" s="12">
        <f>IF(AND(ISNUMBER($J182),$B182&lt;&gt;"",$B182='例_顧客カルテ'!$C$3),$J182,"")</f>
        <v/>
      </c>
    </row>
    <row r="183" ht="30" customHeight="1">
      <c r="A183" s="13" t="n"/>
      <c r="B183" s="7" t="n"/>
      <c r="C183" s="11">
        <f>IF($B183="","",IFERROR(INDEX('例_顧客一覧'!$C$5:$C$104,MATCH($B183,'例_顧客一覧'!$A$5:$A$104,0))&amp;"","※顧客一覧にないID"))</f>
        <v/>
      </c>
      <c r="D183" s="7" t="n"/>
      <c r="E183" s="7" t="n"/>
      <c r="F183" s="14" t="n"/>
      <c r="G183" s="14" t="n"/>
      <c r="H183" s="13" t="n"/>
      <c r="I183" s="31" t="n"/>
      <c r="J183" s="12">
        <f>IF(ISNUMBER($A183),$A183+ROW()/100000,"")</f>
        <v/>
      </c>
      <c r="K183" s="12">
        <f>IF(AND(ISNUMBER($J183),$B183&lt;&gt;"",$B183='例_顧客カルテ'!$C$3),$J183,"")</f>
        <v/>
      </c>
    </row>
    <row r="184" ht="30" customHeight="1">
      <c r="A184" s="13" t="n"/>
      <c r="B184" s="7" t="n"/>
      <c r="C184" s="11">
        <f>IF($B184="","",IFERROR(INDEX('例_顧客一覧'!$C$5:$C$104,MATCH($B184,'例_顧客一覧'!$A$5:$A$104,0))&amp;"","※顧客一覧にないID"))</f>
        <v/>
      </c>
      <c r="D184" s="7" t="n"/>
      <c r="E184" s="7" t="n"/>
      <c r="F184" s="14" t="n"/>
      <c r="G184" s="14" t="n"/>
      <c r="H184" s="13" t="n"/>
      <c r="I184" s="31" t="n"/>
      <c r="J184" s="12">
        <f>IF(ISNUMBER($A184),$A184+ROW()/100000,"")</f>
        <v/>
      </c>
      <c r="K184" s="12">
        <f>IF(AND(ISNUMBER($J184),$B184&lt;&gt;"",$B184='例_顧客カルテ'!$C$3),$J184,"")</f>
        <v/>
      </c>
    </row>
    <row r="185" ht="30" customHeight="1">
      <c r="A185" s="13" t="n"/>
      <c r="B185" s="7" t="n"/>
      <c r="C185" s="11">
        <f>IF($B185="","",IFERROR(INDEX('例_顧客一覧'!$C$5:$C$104,MATCH($B185,'例_顧客一覧'!$A$5:$A$104,0))&amp;"","※顧客一覧にないID"))</f>
        <v/>
      </c>
      <c r="D185" s="7" t="n"/>
      <c r="E185" s="7" t="n"/>
      <c r="F185" s="14" t="n"/>
      <c r="G185" s="14" t="n"/>
      <c r="H185" s="13" t="n"/>
      <c r="I185" s="31" t="n"/>
      <c r="J185" s="12">
        <f>IF(ISNUMBER($A185),$A185+ROW()/100000,"")</f>
        <v/>
      </c>
      <c r="K185" s="12">
        <f>IF(AND(ISNUMBER($J185),$B185&lt;&gt;"",$B185='例_顧客カルテ'!$C$3),$J185,"")</f>
        <v/>
      </c>
    </row>
    <row r="186" ht="30" customHeight="1">
      <c r="A186" s="13" t="n"/>
      <c r="B186" s="7" t="n"/>
      <c r="C186" s="11">
        <f>IF($B186="","",IFERROR(INDEX('例_顧客一覧'!$C$5:$C$104,MATCH($B186,'例_顧客一覧'!$A$5:$A$104,0))&amp;"","※顧客一覧にないID"))</f>
        <v/>
      </c>
      <c r="D186" s="7" t="n"/>
      <c r="E186" s="7" t="n"/>
      <c r="F186" s="14" t="n"/>
      <c r="G186" s="14" t="n"/>
      <c r="H186" s="13" t="n"/>
      <c r="I186" s="31" t="n"/>
      <c r="J186" s="12">
        <f>IF(ISNUMBER($A186),$A186+ROW()/100000,"")</f>
        <v/>
      </c>
      <c r="K186" s="12">
        <f>IF(AND(ISNUMBER($J186),$B186&lt;&gt;"",$B186='例_顧客カルテ'!$C$3),$J186,"")</f>
        <v/>
      </c>
    </row>
    <row r="187" ht="30" customHeight="1">
      <c r="A187" s="13" t="n"/>
      <c r="B187" s="7" t="n"/>
      <c r="C187" s="11">
        <f>IF($B187="","",IFERROR(INDEX('例_顧客一覧'!$C$5:$C$104,MATCH($B187,'例_顧客一覧'!$A$5:$A$104,0))&amp;"","※顧客一覧にないID"))</f>
        <v/>
      </c>
      <c r="D187" s="7" t="n"/>
      <c r="E187" s="7" t="n"/>
      <c r="F187" s="14" t="n"/>
      <c r="G187" s="14" t="n"/>
      <c r="H187" s="13" t="n"/>
      <c r="I187" s="31" t="n"/>
      <c r="J187" s="12">
        <f>IF(ISNUMBER($A187),$A187+ROW()/100000,"")</f>
        <v/>
      </c>
      <c r="K187" s="12">
        <f>IF(AND(ISNUMBER($J187),$B187&lt;&gt;"",$B187='例_顧客カルテ'!$C$3),$J187,"")</f>
        <v/>
      </c>
    </row>
    <row r="188" ht="30" customHeight="1">
      <c r="A188" s="13" t="n"/>
      <c r="B188" s="7" t="n"/>
      <c r="C188" s="11">
        <f>IF($B188="","",IFERROR(INDEX('例_顧客一覧'!$C$5:$C$104,MATCH($B188,'例_顧客一覧'!$A$5:$A$104,0))&amp;"","※顧客一覧にないID"))</f>
        <v/>
      </c>
      <c r="D188" s="7" t="n"/>
      <c r="E188" s="7" t="n"/>
      <c r="F188" s="14" t="n"/>
      <c r="G188" s="14" t="n"/>
      <c r="H188" s="13" t="n"/>
      <c r="I188" s="31" t="n"/>
      <c r="J188" s="12">
        <f>IF(ISNUMBER($A188),$A188+ROW()/100000,"")</f>
        <v/>
      </c>
      <c r="K188" s="12">
        <f>IF(AND(ISNUMBER($J188),$B188&lt;&gt;"",$B188='例_顧客カルテ'!$C$3),$J188,"")</f>
        <v/>
      </c>
    </row>
    <row r="189" ht="30" customHeight="1">
      <c r="A189" s="13" t="n"/>
      <c r="B189" s="7" t="n"/>
      <c r="C189" s="11">
        <f>IF($B189="","",IFERROR(INDEX('例_顧客一覧'!$C$5:$C$104,MATCH($B189,'例_顧客一覧'!$A$5:$A$104,0))&amp;"","※顧客一覧にないID"))</f>
        <v/>
      </c>
      <c r="D189" s="7" t="n"/>
      <c r="E189" s="7" t="n"/>
      <c r="F189" s="14" t="n"/>
      <c r="G189" s="14" t="n"/>
      <c r="H189" s="13" t="n"/>
      <c r="I189" s="31" t="n"/>
      <c r="J189" s="12">
        <f>IF(ISNUMBER($A189),$A189+ROW()/100000,"")</f>
        <v/>
      </c>
      <c r="K189" s="12">
        <f>IF(AND(ISNUMBER($J189),$B189&lt;&gt;"",$B189='例_顧客カルテ'!$C$3),$J189,"")</f>
        <v/>
      </c>
    </row>
    <row r="190" ht="30" customHeight="1">
      <c r="A190" s="13" t="n"/>
      <c r="B190" s="7" t="n"/>
      <c r="C190" s="11">
        <f>IF($B190="","",IFERROR(INDEX('例_顧客一覧'!$C$5:$C$104,MATCH($B190,'例_顧客一覧'!$A$5:$A$104,0))&amp;"","※顧客一覧にないID"))</f>
        <v/>
      </c>
      <c r="D190" s="7" t="n"/>
      <c r="E190" s="7" t="n"/>
      <c r="F190" s="14" t="n"/>
      <c r="G190" s="14" t="n"/>
      <c r="H190" s="13" t="n"/>
      <c r="I190" s="31" t="n"/>
      <c r="J190" s="12">
        <f>IF(ISNUMBER($A190),$A190+ROW()/100000,"")</f>
        <v/>
      </c>
      <c r="K190" s="12">
        <f>IF(AND(ISNUMBER($J190),$B190&lt;&gt;"",$B190='例_顧客カルテ'!$C$3),$J190,"")</f>
        <v/>
      </c>
    </row>
    <row r="191" ht="30" customHeight="1">
      <c r="A191" s="13" t="n"/>
      <c r="B191" s="7" t="n"/>
      <c r="C191" s="11">
        <f>IF($B191="","",IFERROR(INDEX('例_顧客一覧'!$C$5:$C$104,MATCH($B191,'例_顧客一覧'!$A$5:$A$104,0))&amp;"","※顧客一覧にないID"))</f>
        <v/>
      </c>
      <c r="D191" s="7" t="n"/>
      <c r="E191" s="7" t="n"/>
      <c r="F191" s="14" t="n"/>
      <c r="G191" s="14" t="n"/>
      <c r="H191" s="13" t="n"/>
      <c r="I191" s="31" t="n"/>
      <c r="J191" s="12">
        <f>IF(ISNUMBER($A191),$A191+ROW()/100000,"")</f>
        <v/>
      </c>
      <c r="K191" s="12">
        <f>IF(AND(ISNUMBER($J191),$B191&lt;&gt;"",$B191='例_顧客カルテ'!$C$3),$J191,"")</f>
        <v/>
      </c>
    </row>
    <row r="192" ht="30" customHeight="1">
      <c r="A192" s="13" t="n"/>
      <c r="B192" s="7" t="n"/>
      <c r="C192" s="11">
        <f>IF($B192="","",IFERROR(INDEX('例_顧客一覧'!$C$5:$C$104,MATCH($B192,'例_顧客一覧'!$A$5:$A$104,0))&amp;"","※顧客一覧にないID"))</f>
        <v/>
      </c>
      <c r="D192" s="7" t="n"/>
      <c r="E192" s="7" t="n"/>
      <c r="F192" s="14" t="n"/>
      <c r="G192" s="14" t="n"/>
      <c r="H192" s="13" t="n"/>
      <c r="I192" s="31" t="n"/>
      <c r="J192" s="12">
        <f>IF(ISNUMBER($A192),$A192+ROW()/100000,"")</f>
        <v/>
      </c>
      <c r="K192" s="12">
        <f>IF(AND(ISNUMBER($J192),$B192&lt;&gt;"",$B192='例_顧客カルテ'!$C$3),$J192,"")</f>
        <v/>
      </c>
    </row>
    <row r="193" ht="30" customHeight="1">
      <c r="A193" s="13" t="n"/>
      <c r="B193" s="7" t="n"/>
      <c r="C193" s="11">
        <f>IF($B193="","",IFERROR(INDEX('例_顧客一覧'!$C$5:$C$104,MATCH($B193,'例_顧客一覧'!$A$5:$A$104,0))&amp;"","※顧客一覧にないID"))</f>
        <v/>
      </c>
      <c r="D193" s="7" t="n"/>
      <c r="E193" s="7" t="n"/>
      <c r="F193" s="14" t="n"/>
      <c r="G193" s="14" t="n"/>
      <c r="H193" s="13" t="n"/>
      <c r="I193" s="31" t="n"/>
      <c r="J193" s="12">
        <f>IF(ISNUMBER($A193),$A193+ROW()/100000,"")</f>
        <v/>
      </c>
      <c r="K193" s="12">
        <f>IF(AND(ISNUMBER($J193),$B193&lt;&gt;"",$B193='例_顧客カルテ'!$C$3),$J193,"")</f>
        <v/>
      </c>
    </row>
    <row r="194" ht="30" customHeight="1">
      <c r="A194" s="13" t="n"/>
      <c r="B194" s="7" t="n"/>
      <c r="C194" s="11">
        <f>IF($B194="","",IFERROR(INDEX('例_顧客一覧'!$C$5:$C$104,MATCH($B194,'例_顧客一覧'!$A$5:$A$104,0))&amp;"","※顧客一覧にないID"))</f>
        <v/>
      </c>
      <c r="D194" s="7" t="n"/>
      <c r="E194" s="7" t="n"/>
      <c r="F194" s="14" t="n"/>
      <c r="G194" s="14" t="n"/>
      <c r="H194" s="13" t="n"/>
      <c r="I194" s="31" t="n"/>
      <c r="J194" s="12">
        <f>IF(ISNUMBER($A194),$A194+ROW()/100000,"")</f>
        <v/>
      </c>
      <c r="K194" s="12">
        <f>IF(AND(ISNUMBER($J194),$B194&lt;&gt;"",$B194='例_顧客カルテ'!$C$3),$J194,"")</f>
        <v/>
      </c>
    </row>
    <row r="195" ht="30" customHeight="1">
      <c r="A195" s="13" t="n"/>
      <c r="B195" s="7" t="n"/>
      <c r="C195" s="11">
        <f>IF($B195="","",IFERROR(INDEX('例_顧客一覧'!$C$5:$C$104,MATCH($B195,'例_顧客一覧'!$A$5:$A$104,0))&amp;"","※顧客一覧にないID"))</f>
        <v/>
      </c>
      <c r="D195" s="7" t="n"/>
      <c r="E195" s="7" t="n"/>
      <c r="F195" s="14" t="n"/>
      <c r="G195" s="14" t="n"/>
      <c r="H195" s="13" t="n"/>
      <c r="I195" s="31" t="n"/>
      <c r="J195" s="12">
        <f>IF(ISNUMBER($A195),$A195+ROW()/100000,"")</f>
        <v/>
      </c>
      <c r="K195" s="12">
        <f>IF(AND(ISNUMBER($J195),$B195&lt;&gt;"",$B195='例_顧客カルテ'!$C$3),$J195,"")</f>
        <v/>
      </c>
    </row>
    <row r="196" ht="30" customHeight="1">
      <c r="A196" s="13" t="n"/>
      <c r="B196" s="7" t="n"/>
      <c r="C196" s="11">
        <f>IF($B196="","",IFERROR(INDEX('例_顧客一覧'!$C$5:$C$104,MATCH($B196,'例_顧客一覧'!$A$5:$A$104,0))&amp;"","※顧客一覧にないID"))</f>
        <v/>
      </c>
      <c r="D196" s="7" t="n"/>
      <c r="E196" s="7" t="n"/>
      <c r="F196" s="14" t="n"/>
      <c r="G196" s="14" t="n"/>
      <c r="H196" s="13" t="n"/>
      <c r="I196" s="31" t="n"/>
      <c r="J196" s="12">
        <f>IF(ISNUMBER($A196),$A196+ROW()/100000,"")</f>
        <v/>
      </c>
      <c r="K196" s="12">
        <f>IF(AND(ISNUMBER($J196),$B196&lt;&gt;"",$B196='例_顧客カルテ'!$C$3),$J196,"")</f>
        <v/>
      </c>
    </row>
    <row r="197" ht="30" customHeight="1">
      <c r="A197" s="13" t="n"/>
      <c r="B197" s="7" t="n"/>
      <c r="C197" s="11">
        <f>IF($B197="","",IFERROR(INDEX('例_顧客一覧'!$C$5:$C$104,MATCH($B197,'例_顧客一覧'!$A$5:$A$104,0))&amp;"","※顧客一覧にないID"))</f>
        <v/>
      </c>
      <c r="D197" s="7" t="n"/>
      <c r="E197" s="7" t="n"/>
      <c r="F197" s="14" t="n"/>
      <c r="G197" s="14" t="n"/>
      <c r="H197" s="13" t="n"/>
      <c r="I197" s="31" t="n"/>
      <c r="J197" s="12">
        <f>IF(ISNUMBER($A197),$A197+ROW()/100000,"")</f>
        <v/>
      </c>
      <c r="K197" s="12">
        <f>IF(AND(ISNUMBER($J197),$B197&lt;&gt;"",$B197='例_顧客カルテ'!$C$3),$J197,"")</f>
        <v/>
      </c>
    </row>
    <row r="198" ht="30" customHeight="1">
      <c r="A198" s="13" t="n"/>
      <c r="B198" s="7" t="n"/>
      <c r="C198" s="11">
        <f>IF($B198="","",IFERROR(INDEX('例_顧客一覧'!$C$5:$C$104,MATCH($B198,'例_顧客一覧'!$A$5:$A$104,0))&amp;"","※顧客一覧にないID"))</f>
        <v/>
      </c>
      <c r="D198" s="7" t="n"/>
      <c r="E198" s="7" t="n"/>
      <c r="F198" s="14" t="n"/>
      <c r="G198" s="14" t="n"/>
      <c r="H198" s="13" t="n"/>
      <c r="I198" s="31" t="n"/>
      <c r="J198" s="12">
        <f>IF(ISNUMBER($A198),$A198+ROW()/100000,"")</f>
        <v/>
      </c>
      <c r="K198" s="12">
        <f>IF(AND(ISNUMBER($J198),$B198&lt;&gt;"",$B198='例_顧客カルテ'!$C$3),$J198,"")</f>
        <v/>
      </c>
    </row>
    <row r="199" ht="30" customHeight="1">
      <c r="A199" s="13" t="n"/>
      <c r="B199" s="7" t="n"/>
      <c r="C199" s="11">
        <f>IF($B199="","",IFERROR(INDEX('例_顧客一覧'!$C$5:$C$104,MATCH($B199,'例_顧客一覧'!$A$5:$A$104,0))&amp;"","※顧客一覧にないID"))</f>
        <v/>
      </c>
      <c r="D199" s="7" t="n"/>
      <c r="E199" s="7" t="n"/>
      <c r="F199" s="14" t="n"/>
      <c r="G199" s="14" t="n"/>
      <c r="H199" s="13" t="n"/>
      <c r="I199" s="31" t="n"/>
      <c r="J199" s="12">
        <f>IF(ISNUMBER($A199),$A199+ROW()/100000,"")</f>
        <v/>
      </c>
      <c r="K199" s="12">
        <f>IF(AND(ISNUMBER($J199),$B199&lt;&gt;"",$B199='例_顧客カルテ'!$C$3),$J199,"")</f>
        <v/>
      </c>
    </row>
    <row r="200" ht="30" customHeight="1">
      <c r="A200" s="13" t="n"/>
      <c r="B200" s="7" t="n"/>
      <c r="C200" s="11">
        <f>IF($B200="","",IFERROR(INDEX('例_顧客一覧'!$C$5:$C$104,MATCH($B200,'例_顧客一覧'!$A$5:$A$104,0))&amp;"","※顧客一覧にないID"))</f>
        <v/>
      </c>
      <c r="D200" s="7" t="n"/>
      <c r="E200" s="7" t="n"/>
      <c r="F200" s="14" t="n"/>
      <c r="G200" s="14" t="n"/>
      <c r="H200" s="13" t="n"/>
      <c r="I200" s="31" t="n"/>
      <c r="J200" s="12">
        <f>IF(ISNUMBER($A200),$A200+ROW()/100000,"")</f>
        <v/>
      </c>
      <c r="K200" s="12">
        <f>IF(AND(ISNUMBER($J200),$B200&lt;&gt;"",$B200='例_顧客カルテ'!$C$3),$J200,"")</f>
        <v/>
      </c>
    </row>
    <row r="201" ht="30" customHeight="1">
      <c r="A201" s="13" t="n"/>
      <c r="B201" s="7" t="n"/>
      <c r="C201" s="11">
        <f>IF($B201="","",IFERROR(INDEX('例_顧客一覧'!$C$5:$C$104,MATCH($B201,'例_顧客一覧'!$A$5:$A$104,0))&amp;"","※顧客一覧にないID"))</f>
        <v/>
      </c>
      <c r="D201" s="7" t="n"/>
      <c r="E201" s="7" t="n"/>
      <c r="F201" s="14" t="n"/>
      <c r="G201" s="14" t="n"/>
      <c r="H201" s="13" t="n"/>
      <c r="I201" s="31" t="n"/>
      <c r="J201" s="12">
        <f>IF(ISNUMBER($A201),$A201+ROW()/100000,"")</f>
        <v/>
      </c>
      <c r="K201" s="12">
        <f>IF(AND(ISNUMBER($J201),$B201&lt;&gt;"",$B201='例_顧客カルテ'!$C$3),$J201,"")</f>
        <v/>
      </c>
    </row>
    <row r="202" ht="30" customHeight="1">
      <c r="A202" s="13" t="n"/>
      <c r="B202" s="7" t="n"/>
      <c r="C202" s="11">
        <f>IF($B202="","",IFERROR(INDEX('例_顧客一覧'!$C$5:$C$104,MATCH($B202,'例_顧客一覧'!$A$5:$A$104,0))&amp;"","※顧客一覧にないID"))</f>
        <v/>
      </c>
      <c r="D202" s="7" t="n"/>
      <c r="E202" s="7" t="n"/>
      <c r="F202" s="14" t="n"/>
      <c r="G202" s="14" t="n"/>
      <c r="H202" s="13" t="n"/>
      <c r="I202" s="31" t="n"/>
      <c r="J202" s="12">
        <f>IF(ISNUMBER($A202),$A202+ROW()/100000,"")</f>
        <v/>
      </c>
      <c r="K202" s="12">
        <f>IF(AND(ISNUMBER($J202),$B202&lt;&gt;"",$B202='例_顧客カルテ'!$C$3),$J202,"")</f>
        <v/>
      </c>
    </row>
    <row r="203" ht="30" customHeight="1">
      <c r="A203" s="13" t="n"/>
      <c r="B203" s="7" t="n"/>
      <c r="C203" s="11">
        <f>IF($B203="","",IFERROR(INDEX('例_顧客一覧'!$C$5:$C$104,MATCH($B203,'例_顧客一覧'!$A$5:$A$104,0))&amp;"","※顧客一覧にないID"))</f>
        <v/>
      </c>
      <c r="D203" s="7" t="n"/>
      <c r="E203" s="7" t="n"/>
      <c r="F203" s="14" t="n"/>
      <c r="G203" s="14" t="n"/>
      <c r="H203" s="13" t="n"/>
      <c r="I203" s="31" t="n"/>
      <c r="J203" s="12">
        <f>IF(ISNUMBER($A203),$A203+ROW()/100000,"")</f>
        <v/>
      </c>
      <c r="K203" s="12">
        <f>IF(AND(ISNUMBER($J203),$B203&lt;&gt;"",$B203='例_顧客カルテ'!$C$3),$J203,"")</f>
        <v/>
      </c>
    </row>
    <row r="204" ht="30" customHeight="1">
      <c r="A204" s="13" t="n"/>
      <c r="B204" s="7" t="n"/>
      <c r="C204" s="11">
        <f>IF($B204="","",IFERROR(INDEX('例_顧客一覧'!$C$5:$C$104,MATCH($B204,'例_顧客一覧'!$A$5:$A$104,0))&amp;"","※顧客一覧にないID"))</f>
        <v/>
      </c>
      <c r="D204" s="7" t="n"/>
      <c r="E204" s="7" t="n"/>
      <c r="F204" s="14" t="n"/>
      <c r="G204" s="14" t="n"/>
      <c r="H204" s="13" t="n"/>
      <c r="I204" s="31" t="n"/>
      <c r="J204" s="12">
        <f>IF(ISNUMBER($A204),$A204+ROW()/100000,"")</f>
        <v/>
      </c>
      <c r="K204" s="12">
        <f>IF(AND(ISNUMBER($J204),$B204&lt;&gt;"",$B204='例_顧客カルテ'!$C$3),$J204,"")</f>
        <v/>
      </c>
    </row>
    <row r="205" ht="30" customHeight="1">
      <c r="A205" s="13" t="n"/>
      <c r="B205" s="7" t="n"/>
      <c r="C205" s="11">
        <f>IF($B205="","",IFERROR(INDEX('例_顧客一覧'!$C$5:$C$104,MATCH($B205,'例_顧客一覧'!$A$5:$A$104,0))&amp;"","※顧客一覧にないID"))</f>
        <v/>
      </c>
      <c r="D205" s="7" t="n"/>
      <c r="E205" s="7" t="n"/>
      <c r="F205" s="14" t="n"/>
      <c r="G205" s="14" t="n"/>
      <c r="H205" s="13" t="n"/>
      <c r="I205" s="31" t="n"/>
      <c r="J205" s="12">
        <f>IF(ISNUMBER($A205),$A205+ROW()/100000,"")</f>
        <v/>
      </c>
      <c r="K205" s="12">
        <f>IF(AND(ISNUMBER($J205),$B205&lt;&gt;"",$B205='例_顧客カルテ'!$C$3),$J205,"")</f>
        <v/>
      </c>
    </row>
    <row r="206" ht="30" customHeight="1">
      <c r="A206" s="13" t="n"/>
      <c r="B206" s="7" t="n"/>
      <c r="C206" s="11">
        <f>IF($B206="","",IFERROR(INDEX('例_顧客一覧'!$C$5:$C$104,MATCH($B206,'例_顧客一覧'!$A$5:$A$104,0))&amp;"","※顧客一覧にないID"))</f>
        <v/>
      </c>
      <c r="D206" s="7" t="n"/>
      <c r="E206" s="7" t="n"/>
      <c r="F206" s="14" t="n"/>
      <c r="G206" s="14" t="n"/>
      <c r="H206" s="13" t="n"/>
      <c r="I206" s="31" t="n"/>
      <c r="J206" s="12">
        <f>IF(ISNUMBER($A206),$A206+ROW()/100000,"")</f>
        <v/>
      </c>
      <c r="K206" s="12">
        <f>IF(AND(ISNUMBER($J206),$B206&lt;&gt;"",$B206='例_顧客カルテ'!$C$3),$J206,"")</f>
        <v/>
      </c>
    </row>
    <row r="207" ht="30" customHeight="1">
      <c r="A207" s="13" t="n"/>
      <c r="B207" s="7" t="n"/>
      <c r="C207" s="11">
        <f>IF($B207="","",IFERROR(INDEX('例_顧客一覧'!$C$5:$C$104,MATCH($B207,'例_顧客一覧'!$A$5:$A$104,0))&amp;"","※顧客一覧にないID"))</f>
        <v/>
      </c>
      <c r="D207" s="7" t="n"/>
      <c r="E207" s="7" t="n"/>
      <c r="F207" s="14" t="n"/>
      <c r="G207" s="14" t="n"/>
      <c r="H207" s="13" t="n"/>
      <c r="I207" s="31" t="n"/>
      <c r="J207" s="12">
        <f>IF(ISNUMBER($A207),$A207+ROW()/100000,"")</f>
        <v/>
      </c>
      <c r="K207" s="12">
        <f>IF(AND(ISNUMBER($J207),$B207&lt;&gt;"",$B207='例_顧客カルテ'!$C$3),$J207,"")</f>
        <v/>
      </c>
    </row>
    <row r="208" ht="30" customHeight="1">
      <c r="A208" s="13" t="n"/>
      <c r="B208" s="7" t="n"/>
      <c r="C208" s="11">
        <f>IF($B208="","",IFERROR(INDEX('例_顧客一覧'!$C$5:$C$104,MATCH($B208,'例_顧客一覧'!$A$5:$A$104,0))&amp;"","※顧客一覧にないID"))</f>
        <v/>
      </c>
      <c r="D208" s="7" t="n"/>
      <c r="E208" s="7" t="n"/>
      <c r="F208" s="14" t="n"/>
      <c r="G208" s="14" t="n"/>
      <c r="H208" s="13" t="n"/>
      <c r="I208" s="31" t="n"/>
      <c r="J208" s="12">
        <f>IF(ISNUMBER($A208),$A208+ROW()/100000,"")</f>
        <v/>
      </c>
      <c r="K208" s="12">
        <f>IF(AND(ISNUMBER($J208),$B208&lt;&gt;"",$B208='例_顧客カルテ'!$C$3),$J208,"")</f>
        <v/>
      </c>
    </row>
    <row r="209" ht="30" customHeight="1">
      <c r="A209" s="13" t="n"/>
      <c r="B209" s="7" t="n"/>
      <c r="C209" s="11">
        <f>IF($B209="","",IFERROR(INDEX('例_顧客一覧'!$C$5:$C$104,MATCH($B209,'例_顧客一覧'!$A$5:$A$104,0))&amp;"","※顧客一覧にないID"))</f>
        <v/>
      </c>
      <c r="D209" s="7" t="n"/>
      <c r="E209" s="7" t="n"/>
      <c r="F209" s="14" t="n"/>
      <c r="G209" s="14" t="n"/>
      <c r="H209" s="13" t="n"/>
      <c r="I209" s="31" t="n"/>
      <c r="J209" s="12">
        <f>IF(ISNUMBER($A209),$A209+ROW()/100000,"")</f>
        <v/>
      </c>
      <c r="K209" s="12">
        <f>IF(AND(ISNUMBER($J209),$B209&lt;&gt;"",$B209='例_顧客カルテ'!$C$3),$J209,"")</f>
        <v/>
      </c>
    </row>
    <row r="210" ht="30" customHeight="1">
      <c r="A210" s="13" t="n"/>
      <c r="B210" s="7" t="n"/>
      <c r="C210" s="11">
        <f>IF($B210="","",IFERROR(INDEX('例_顧客一覧'!$C$5:$C$104,MATCH($B210,'例_顧客一覧'!$A$5:$A$104,0))&amp;"","※顧客一覧にないID"))</f>
        <v/>
      </c>
      <c r="D210" s="7" t="n"/>
      <c r="E210" s="7" t="n"/>
      <c r="F210" s="14" t="n"/>
      <c r="G210" s="14" t="n"/>
      <c r="H210" s="13" t="n"/>
      <c r="I210" s="31" t="n"/>
      <c r="J210" s="12">
        <f>IF(ISNUMBER($A210),$A210+ROW()/100000,"")</f>
        <v/>
      </c>
      <c r="K210" s="12">
        <f>IF(AND(ISNUMBER($J210),$B210&lt;&gt;"",$B210='例_顧客カルテ'!$C$3),$J210,"")</f>
        <v/>
      </c>
    </row>
    <row r="211" ht="30" customHeight="1">
      <c r="A211" s="13" t="n"/>
      <c r="B211" s="7" t="n"/>
      <c r="C211" s="11">
        <f>IF($B211="","",IFERROR(INDEX('例_顧客一覧'!$C$5:$C$104,MATCH($B211,'例_顧客一覧'!$A$5:$A$104,0))&amp;"","※顧客一覧にないID"))</f>
        <v/>
      </c>
      <c r="D211" s="7" t="n"/>
      <c r="E211" s="7" t="n"/>
      <c r="F211" s="14" t="n"/>
      <c r="G211" s="14" t="n"/>
      <c r="H211" s="13" t="n"/>
      <c r="I211" s="31" t="n"/>
      <c r="J211" s="12">
        <f>IF(ISNUMBER($A211),$A211+ROW()/100000,"")</f>
        <v/>
      </c>
      <c r="K211" s="12">
        <f>IF(AND(ISNUMBER($J211),$B211&lt;&gt;"",$B211='例_顧客カルテ'!$C$3),$J211,"")</f>
        <v/>
      </c>
    </row>
    <row r="212" ht="30" customHeight="1">
      <c r="A212" s="13" t="n"/>
      <c r="B212" s="7" t="n"/>
      <c r="C212" s="11">
        <f>IF($B212="","",IFERROR(INDEX('例_顧客一覧'!$C$5:$C$104,MATCH($B212,'例_顧客一覧'!$A$5:$A$104,0))&amp;"","※顧客一覧にないID"))</f>
        <v/>
      </c>
      <c r="D212" s="7" t="n"/>
      <c r="E212" s="7" t="n"/>
      <c r="F212" s="14" t="n"/>
      <c r="G212" s="14" t="n"/>
      <c r="H212" s="13" t="n"/>
      <c r="I212" s="31" t="n"/>
      <c r="J212" s="12">
        <f>IF(ISNUMBER($A212),$A212+ROW()/100000,"")</f>
        <v/>
      </c>
      <c r="K212" s="12">
        <f>IF(AND(ISNUMBER($J212),$B212&lt;&gt;"",$B212='例_顧客カルテ'!$C$3),$J212,"")</f>
        <v/>
      </c>
    </row>
    <row r="213" ht="30" customHeight="1">
      <c r="A213" s="13" t="n"/>
      <c r="B213" s="7" t="n"/>
      <c r="C213" s="11">
        <f>IF($B213="","",IFERROR(INDEX('例_顧客一覧'!$C$5:$C$104,MATCH($B213,'例_顧客一覧'!$A$5:$A$104,0))&amp;"","※顧客一覧にないID"))</f>
        <v/>
      </c>
      <c r="D213" s="7" t="n"/>
      <c r="E213" s="7" t="n"/>
      <c r="F213" s="14" t="n"/>
      <c r="G213" s="14" t="n"/>
      <c r="H213" s="13" t="n"/>
      <c r="I213" s="31" t="n"/>
      <c r="J213" s="12">
        <f>IF(ISNUMBER($A213),$A213+ROW()/100000,"")</f>
        <v/>
      </c>
      <c r="K213" s="12">
        <f>IF(AND(ISNUMBER($J213),$B213&lt;&gt;"",$B213='例_顧客カルテ'!$C$3),$J213,"")</f>
        <v/>
      </c>
    </row>
    <row r="214" ht="30" customHeight="1">
      <c r="A214" s="13" t="n"/>
      <c r="B214" s="7" t="n"/>
      <c r="C214" s="11">
        <f>IF($B214="","",IFERROR(INDEX('例_顧客一覧'!$C$5:$C$104,MATCH($B214,'例_顧客一覧'!$A$5:$A$104,0))&amp;"","※顧客一覧にないID"))</f>
        <v/>
      </c>
      <c r="D214" s="7" t="n"/>
      <c r="E214" s="7" t="n"/>
      <c r="F214" s="14" t="n"/>
      <c r="G214" s="14" t="n"/>
      <c r="H214" s="13" t="n"/>
      <c r="I214" s="31" t="n"/>
      <c r="J214" s="12">
        <f>IF(ISNUMBER($A214),$A214+ROW()/100000,"")</f>
        <v/>
      </c>
      <c r="K214" s="12">
        <f>IF(AND(ISNUMBER($J214),$B214&lt;&gt;"",$B214='例_顧客カルテ'!$C$3),$J214,"")</f>
        <v/>
      </c>
    </row>
    <row r="215" ht="30" customHeight="1">
      <c r="A215" s="13" t="n"/>
      <c r="B215" s="7" t="n"/>
      <c r="C215" s="11">
        <f>IF($B215="","",IFERROR(INDEX('例_顧客一覧'!$C$5:$C$104,MATCH($B215,'例_顧客一覧'!$A$5:$A$104,0))&amp;"","※顧客一覧にないID"))</f>
        <v/>
      </c>
      <c r="D215" s="7" t="n"/>
      <c r="E215" s="7" t="n"/>
      <c r="F215" s="14" t="n"/>
      <c r="G215" s="14" t="n"/>
      <c r="H215" s="13" t="n"/>
      <c r="I215" s="31" t="n"/>
      <c r="J215" s="12">
        <f>IF(ISNUMBER($A215),$A215+ROW()/100000,"")</f>
        <v/>
      </c>
      <c r="K215" s="12">
        <f>IF(AND(ISNUMBER($J215),$B215&lt;&gt;"",$B215='例_顧客カルテ'!$C$3),$J215,"")</f>
        <v/>
      </c>
    </row>
    <row r="216" ht="30" customHeight="1">
      <c r="A216" s="13" t="n"/>
      <c r="B216" s="7" t="n"/>
      <c r="C216" s="11">
        <f>IF($B216="","",IFERROR(INDEX('例_顧客一覧'!$C$5:$C$104,MATCH($B216,'例_顧客一覧'!$A$5:$A$104,0))&amp;"","※顧客一覧にないID"))</f>
        <v/>
      </c>
      <c r="D216" s="7" t="n"/>
      <c r="E216" s="7" t="n"/>
      <c r="F216" s="14" t="n"/>
      <c r="G216" s="14" t="n"/>
      <c r="H216" s="13" t="n"/>
      <c r="I216" s="31" t="n"/>
      <c r="J216" s="12">
        <f>IF(ISNUMBER($A216),$A216+ROW()/100000,"")</f>
        <v/>
      </c>
      <c r="K216" s="12">
        <f>IF(AND(ISNUMBER($J216),$B216&lt;&gt;"",$B216='例_顧客カルテ'!$C$3),$J216,"")</f>
        <v/>
      </c>
    </row>
    <row r="217" ht="30" customHeight="1">
      <c r="A217" s="13" t="n"/>
      <c r="B217" s="7" t="n"/>
      <c r="C217" s="11">
        <f>IF($B217="","",IFERROR(INDEX('例_顧客一覧'!$C$5:$C$104,MATCH($B217,'例_顧客一覧'!$A$5:$A$104,0))&amp;"","※顧客一覧にないID"))</f>
        <v/>
      </c>
      <c r="D217" s="7" t="n"/>
      <c r="E217" s="7" t="n"/>
      <c r="F217" s="14" t="n"/>
      <c r="G217" s="14" t="n"/>
      <c r="H217" s="13" t="n"/>
      <c r="I217" s="31" t="n"/>
      <c r="J217" s="12">
        <f>IF(ISNUMBER($A217),$A217+ROW()/100000,"")</f>
        <v/>
      </c>
      <c r="K217" s="12">
        <f>IF(AND(ISNUMBER($J217),$B217&lt;&gt;"",$B217='例_顧客カルテ'!$C$3),$J217,"")</f>
        <v/>
      </c>
    </row>
    <row r="218" ht="30" customHeight="1">
      <c r="A218" s="13" t="n"/>
      <c r="B218" s="7" t="n"/>
      <c r="C218" s="11">
        <f>IF($B218="","",IFERROR(INDEX('例_顧客一覧'!$C$5:$C$104,MATCH($B218,'例_顧客一覧'!$A$5:$A$104,0))&amp;"","※顧客一覧にないID"))</f>
        <v/>
      </c>
      <c r="D218" s="7" t="n"/>
      <c r="E218" s="7" t="n"/>
      <c r="F218" s="14" t="n"/>
      <c r="G218" s="14" t="n"/>
      <c r="H218" s="13" t="n"/>
      <c r="I218" s="31" t="n"/>
      <c r="J218" s="12">
        <f>IF(ISNUMBER($A218),$A218+ROW()/100000,"")</f>
        <v/>
      </c>
      <c r="K218" s="12">
        <f>IF(AND(ISNUMBER($J218),$B218&lt;&gt;"",$B218='例_顧客カルテ'!$C$3),$J218,"")</f>
        <v/>
      </c>
    </row>
    <row r="219" ht="30" customHeight="1">
      <c r="A219" s="13" t="n"/>
      <c r="B219" s="7" t="n"/>
      <c r="C219" s="11">
        <f>IF($B219="","",IFERROR(INDEX('例_顧客一覧'!$C$5:$C$104,MATCH($B219,'例_顧客一覧'!$A$5:$A$104,0))&amp;"","※顧客一覧にないID"))</f>
        <v/>
      </c>
      <c r="D219" s="7" t="n"/>
      <c r="E219" s="7" t="n"/>
      <c r="F219" s="14" t="n"/>
      <c r="G219" s="14" t="n"/>
      <c r="H219" s="13" t="n"/>
      <c r="I219" s="31" t="n"/>
      <c r="J219" s="12">
        <f>IF(ISNUMBER($A219),$A219+ROW()/100000,"")</f>
        <v/>
      </c>
      <c r="K219" s="12">
        <f>IF(AND(ISNUMBER($J219),$B219&lt;&gt;"",$B219='例_顧客カルテ'!$C$3),$J219,"")</f>
        <v/>
      </c>
    </row>
    <row r="220" ht="30" customHeight="1">
      <c r="A220" s="13" t="n"/>
      <c r="B220" s="7" t="n"/>
      <c r="C220" s="11">
        <f>IF($B220="","",IFERROR(INDEX('例_顧客一覧'!$C$5:$C$104,MATCH($B220,'例_顧客一覧'!$A$5:$A$104,0))&amp;"","※顧客一覧にないID"))</f>
        <v/>
      </c>
      <c r="D220" s="7" t="n"/>
      <c r="E220" s="7" t="n"/>
      <c r="F220" s="14" t="n"/>
      <c r="G220" s="14" t="n"/>
      <c r="H220" s="13" t="n"/>
      <c r="I220" s="31" t="n"/>
      <c r="J220" s="12">
        <f>IF(ISNUMBER($A220),$A220+ROW()/100000,"")</f>
        <v/>
      </c>
      <c r="K220" s="12">
        <f>IF(AND(ISNUMBER($J220),$B220&lt;&gt;"",$B220='例_顧客カルテ'!$C$3),$J220,"")</f>
        <v/>
      </c>
    </row>
    <row r="221" ht="30" customHeight="1">
      <c r="A221" s="13" t="n"/>
      <c r="B221" s="7" t="n"/>
      <c r="C221" s="11">
        <f>IF($B221="","",IFERROR(INDEX('例_顧客一覧'!$C$5:$C$104,MATCH($B221,'例_顧客一覧'!$A$5:$A$104,0))&amp;"","※顧客一覧にないID"))</f>
        <v/>
      </c>
      <c r="D221" s="7" t="n"/>
      <c r="E221" s="7" t="n"/>
      <c r="F221" s="14" t="n"/>
      <c r="G221" s="14" t="n"/>
      <c r="H221" s="13" t="n"/>
      <c r="I221" s="31" t="n"/>
      <c r="J221" s="12">
        <f>IF(ISNUMBER($A221),$A221+ROW()/100000,"")</f>
        <v/>
      </c>
      <c r="K221" s="12">
        <f>IF(AND(ISNUMBER($J221),$B221&lt;&gt;"",$B221='例_顧客カルテ'!$C$3),$J221,"")</f>
        <v/>
      </c>
    </row>
    <row r="222" ht="30" customHeight="1">
      <c r="A222" s="13" t="n"/>
      <c r="B222" s="7" t="n"/>
      <c r="C222" s="11">
        <f>IF($B222="","",IFERROR(INDEX('例_顧客一覧'!$C$5:$C$104,MATCH($B222,'例_顧客一覧'!$A$5:$A$104,0))&amp;"","※顧客一覧にないID"))</f>
        <v/>
      </c>
      <c r="D222" s="7" t="n"/>
      <c r="E222" s="7" t="n"/>
      <c r="F222" s="14" t="n"/>
      <c r="G222" s="14" t="n"/>
      <c r="H222" s="13" t="n"/>
      <c r="I222" s="31" t="n"/>
      <c r="J222" s="12">
        <f>IF(ISNUMBER($A222),$A222+ROW()/100000,"")</f>
        <v/>
      </c>
      <c r="K222" s="12">
        <f>IF(AND(ISNUMBER($J222),$B222&lt;&gt;"",$B222='例_顧客カルテ'!$C$3),$J222,"")</f>
        <v/>
      </c>
    </row>
    <row r="223" ht="30" customHeight="1">
      <c r="A223" s="13" t="n"/>
      <c r="B223" s="7" t="n"/>
      <c r="C223" s="11">
        <f>IF($B223="","",IFERROR(INDEX('例_顧客一覧'!$C$5:$C$104,MATCH($B223,'例_顧客一覧'!$A$5:$A$104,0))&amp;"","※顧客一覧にないID"))</f>
        <v/>
      </c>
      <c r="D223" s="7" t="n"/>
      <c r="E223" s="7" t="n"/>
      <c r="F223" s="14" t="n"/>
      <c r="G223" s="14" t="n"/>
      <c r="H223" s="13" t="n"/>
      <c r="I223" s="31" t="n"/>
      <c r="J223" s="12">
        <f>IF(ISNUMBER($A223),$A223+ROW()/100000,"")</f>
        <v/>
      </c>
      <c r="K223" s="12">
        <f>IF(AND(ISNUMBER($J223),$B223&lt;&gt;"",$B223='例_顧客カルテ'!$C$3),$J223,"")</f>
        <v/>
      </c>
    </row>
    <row r="224" ht="30" customHeight="1">
      <c r="A224" s="13" t="n"/>
      <c r="B224" s="7" t="n"/>
      <c r="C224" s="11">
        <f>IF($B224="","",IFERROR(INDEX('例_顧客一覧'!$C$5:$C$104,MATCH($B224,'例_顧客一覧'!$A$5:$A$104,0))&amp;"","※顧客一覧にないID"))</f>
        <v/>
      </c>
      <c r="D224" s="7" t="n"/>
      <c r="E224" s="7" t="n"/>
      <c r="F224" s="14" t="n"/>
      <c r="G224" s="14" t="n"/>
      <c r="H224" s="13" t="n"/>
      <c r="I224" s="31" t="n"/>
      <c r="J224" s="12">
        <f>IF(ISNUMBER($A224),$A224+ROW()/100000,"")</f>
        <v/>
      </c>
      <c r="K224" s="12">
        <f>IF(AND(ISNUMBER($J224),$B224&lt;&gt;"",$B224='例_顧客カルテ'!$C$3),$J224,"")</f>
        <v/>
      </c>
    </row>
    <row r="225" ht="30" customHeight="1">
      <c r="A225" s="13" t="n"/>
      <c r="B225" s="7" t="n"/>
      <c r="C225" s="11">
        <f>IF($B225="","",IFERROR(INDEX('例_顧客一覧'!$C$5:$C$104,MATCH($B225,'例_顧客一覧'!$A$5:$A$104,0))&amp;"","※顧客一覧にないID"))</f>
        <v/>
      </c>
      <c r="D225" s="7" t="n"/>
      <c r="E225" s="7" t="n"/>
      <c r="F225" s="14" t="n"/>
      <c r="G225" s="14" t="n"/>
      <c r="H225" s="13" t="n"/>
      <c r="I225" s="31" t="n"/>
      <c r="J225" s="12">
        <f>IF(ISNUMBER($A225),$A225+ROW()/100000,"")</f>
        <v/>
      </c>
      <c r="K225" s="12">
        <f>IF(AND(ISNUMBER($J225),$B225&lt;&gt;"",$B225='例_顧客カルテ'!$C$3),$J225,"")</f>
        <v/>
      </c>
    </row>
    <row r="226" ht="30" customHeight="1">
      <c r="A226" s="13" t="n"/>
      <c r="B226" s="7" t="n"/>
      <c r="C226" s="11">
        <f>IF($B226="","",IFERROR(INDEX('例_顧客一覧'!$C$5:$C$104,MATCH($B226,'例_顧客一覧'!$A$5:$A$104,0))&amp;"","※顧客一覧にないID"))</f>
        <v/>
      </c>
      <c r="D226" s="7" t="n"/>
      <c r="E226" s="7" t="n"/>
      <c r="F226" s="14" t="n"/>
      <c r="G226" s="14" t="n"/>
      <c r="H226" s="13" t="n"/>
      <c r="I226" s="31" t="n"/>
      <c r="J226" s="12">
        <f>IF(ISNUMBER($A226),$A226+ROW()/100000,"")</f>
        <v/>
      </c>
      <c r="K226" s="12">
        <f>IF(AND(ISNUMBER($J226),$B226&lt;&gt;"",$B226='例_顧客カルテ'!$C$3),$J226,"")</f>
        <v/>
      </c>
    </row>
    <row r="227" ht="30" customHeight="1">
      <c r="A227" s="13" t="n"/>
      <c r="B227" s="7" t="n"/>
      <c r="C227" s="11">
        <f>IF($B227="","",IFERROR(INDEX('例_顧客一覧'!$C$5:$C$104,MATCH($B227,'例_顧客一覧'!$A$5:$A$104,0))&amp;"","※顧客一覧にないID"))</f>
        <v/>
      </c>
      <c r="D227" s="7" t="n"/>
      <c r="E227" s="7" t="n"/>
      <c r="F227" s="14" t="n"/>
      <c r="G227" s="14" t="n"/>
      <c r="H227" s="13" t="n"/>
      <c r="I227" s="31" t="n"/>
      <c r="J227" s="12">
        <f>IF(ISNUMBER($A227),$A227+ROW()/100000,"")</f>
        <v/>
      </c>
      <c r="K227" s="12">
        <f>IF(AND(ISNUMBER($J227),$B227&lt;&gt;"",$B227='例_顧客カルテ'!$C$3),$J227,"")</f>
        <v/>
      </c>
    </row>
    <row r="228" ht="30" customHeight="1">
      <c r="A228" s="13" t="n"/>
      <c r="B228" s="7" t="n"/>
      <c r="C228" s="11">
        <f>IF($B228="","",IFERROR(INDEX('例_顧客一覧'!$C$5:$C$104,MATCH($B228,'例_顧客一覧'!$A$5:$A$104,0))&amp;"","※顧客一覧にないID"))</f>
        <v/>
      </c>
      <c r="D228" s="7" t="n"/>
      <c r="E228" s="7" t="n"/>
      <c r="F228" s="14" t="n"/>
      <c r="G228" s="14" t="n"/>
      <c r="H228" s="13" t="n"/>
      <c r="I228" s="31" t="n"/>
      <c r="J228" s="12">
        <f>IF(ISNUMBER($A228),$A228+ROW()/100000,"")</f>
        <v/>
      </c>
      <c r="K228" s="12">
        <f>IF(AND(ISNUMBER($J228),$B228&lt;&gt;"",$B228='例_顧客カルテ'!$C$3),$J228,"")</f>
        <v/>
      </c>
    </row>
    <row r="229" ht="30" customHeight="1">
      <c r="A229" s="13" t="n"/>
      <c r="B229" s="7" t="n"/>
      <c r="C229" s="11">
        <f>IF($B229="","",IFERROR(INDEX('例_顧客一覧'!$C$5:$C$104,MATCH($B229,'例_顧客一覧'!$A$5:$A$104,0))&amp;"","※顧客一覧にないID"))</f>
        <v/>
      </c>
      <c r="D229" s="7" t="n"/>
      <c r="E229" s="7" t="n"/>
      <c r="F229" s="14" t="n"/>
      <c r="G229" s="14" t="n"/>
      <c r="H229" s="13" t="n"/>
      <c r="I229" s="31" t="n"/>
      <c r="J229" s="12">
        <f>IF(ISNUMBER($A229),$A229+ROW()/100000,"")</f>
        <v/>
      </c>
      <c r="K229" s="12">
        <f>IF(AND(ISNUMBER($J229),$B229&lt;&gt;"",$B229='例_顧客カルテ'!$C$3),$J229,"")</f>
        <v/>
      </c>
    </row>
    <row r="230" ht="30" customHeight="1">
      <c r="A230" s="13" t="n"/>
      <c r="B230" s="7" t="n"/>
      <c r="C230" s="11">
        <f>IF($B230="","",IFERROR(INDEX('例_顧客一覧'!$C$5:$C$104,MATCH($B230,'例_顧客一覧'!$A$5:$A$104,0))&amp;"","※顧客一覧にないID"))</f>
        <v/>
      </c>
      <c r="D230" s="7" t="n"/>
      <c r="E230" s="7" t="n"/>
      <c r="F230" s="14" t="n"/>
      <c r="G230" s="14" t="n"/>
      <c r="H230" s="13" t="n"/>
      <c r="I230" s="31" t="n"/>
      <c r="J230" s="12">
        <f>IF(ISNUMBER($A230),$A230+ROW()/100000,"")</f>
        <v/>
      </c>
      <c r="K230" s="12">
        <f>IF(AND(ISNUMBER($J230),$B230&lt;&gt;"",$B230='例_顧客カルテ'!$C$3),$J230,"")</f>
        <v/>
      </c>
    </row>
    <row r="231" ht="30" customHeight="1">
      <c r="A231" s="13" t="n"/>
      <c r="B231" s="7" t="n"/>
      <c r="C231" s="11">
        <f>IF($B231="","",IFERROR(INDEX('例_顧客一覧'!$C$5:$C$104,MATCH($B231,'例_顧客一覧'!$A$5:$A$104,0))&amp;"","※顧客一覧にないID"))</f>
        <v/>
      </c>
      <c r="D231" s="7" t="n"/>
      <c r="E231" s="7" t="n"/>
      <c r="F231" s="14" t="n"/>
      <c r="G231" s="14" t="n"/>
      <c r="H231" s="13" t="n"/>
      <c r="I231" s="31" t="n"/>
      <c r="J231" s="12">
        <f>IF(ISNUMBER($A231),$A231+ROW()/100000,"")</f>
        <v/>
      </c>
      <c r="K231" s="12">
        <f>IF(AND(ISNUMBER($J231),$B231&lt;&gt;"",$B231='例_顧客カルテ'!$C$3),$J231,"")</f>
        <v/>
      </c>
    </row>
    <row r="232" ht="30" customHeight="1">
      <c r="A232" s="13" t="n"/>
      <c r="B232" s="7" t="n"/>
      <c r="C232" s="11">
        <f>IF($B232="","",IFERROR(INDEX('例_顧客一覧'!$C$5:$C$104,MATCH($B232,'例_顧客一覧'!$A$5:$A$104,0))&amp;"","※顧客一覧にないID"))</f>
        <v/>
      </c>
      <c r="D232" s="7" t="n"/>
      <c r="E232" s="7" t="n"/>
      <c r="F232" s="14" t="n"/>
      <c r="G232" s="14" t="n"/>
      <c r="H232" s="13" t="n"/>
      <c r="I232" s="31" t="n"/>
      <c r="J232" s="12">
        <f>IF(ISNUMBER($A232),$A232+ROW()/100000,"")</f>
        <v/>
      </c>
      <c r="K232" s="12">
        <f>IF(AND(ISNUMBER($J232),$B232&lt;&gt;"",$B232='例_顧客カルテ'!$C$3),$J232,"")</f>
        <v/>
      </c>
    </row>
    <row r="233" ht="30" customHeight="1">
      <c r="A233" s="13" t="n"/>
      <c r="B233" s="7" t="n"/>
      <c r="C233" s="11">
        <f>IF($B233="","",IFERROR(INDEX('例_顧客一覧'!$C$5:$C$104,MATCH($B233,'例_顧客一覧'!$A$5:$A$104,0))&amp;"","※顧客一覧にないID"))</f>
        <v/>
      </c>
      <c r="D233" s="7" t="n"/>
      <c r="E233" s="7" t="n"/>
      <c r="F233" s="14" t="n"/>
      <c r="G233" s="14" t="n"/>
      <c r="H233" s="13" t="n"/>
      <c r="I233" s="31" t="n"/>
      <c r="J233" s="12">
        <f>IF(ISNUMBER($A233),$A233+ROW()/100000,"")</f>
        <v/>
      </c>
      <c r="K233" s="12">
        <f>IF(AND(ISNUMBER($J233),$B233&lt;&gt;"",$B233='例_顧客カルテ'!$C$3),$J233,"")</f>
        <v/>
      </c>
    </row>
    <row r="234" ht="30" customHeight="1">
      <c r="A234" s="13" t="n"/>
      <c r="B234" s="7" t="n"/>
      <c r="C234" s="11">
        <f>IF($B234="","",IFERROR(INDEX('例_顧客一覧'!$C$5:$C$104,MATCH($B234,'例_顧客一覧'!$A$5:$A$104,0))&amp;"","※顧客一覧にないID"))</f>
        <v/>
      </c>
      <c r="D234" s="7" t="n"/>
      <c r="E234" s="7" t="n"/>
      <c r="F234" s="14" t="n"/>
      <c r="G234" s="14" t="n"/>
      <c r="H234" s="13" t="n"/>
      <c r="I234" s="31" t="n"/>
      <c r="J234" s="12">
        <f>IF(ISNUMBER($A234),$A234+ROW()/100000,"")</f>
        <v/>
      </c>
      <c r="K234" s="12">
        <f>IF(AND(ISNUMBER($J234),$B234&lt;&gt;"",$B234='例_顧客カルテ'!$C$3),$J234,"")</f>
        <v/>
      </c>
    </row>
    <row r="235" ht="30" customHeight="1">
      <c r="A235" s="13" t="n"/>
      <c r="B235" s="7" t="n"/>
      <c r="C235" s="11">
        <f>IF($B235="","",IFERROR(INDEX('例_顧客一覧'!$C$5:$C$104,MATCH($B235,'例_顧客一覧'!$A$5:$A$104,0))&amp;"","※顧客一覧にないID"))</f>
        <v/>
      </c>
      <c r="D235" s="7" t="n"/>
      <c r="E235" s="7" t="n"/>
      <c r="F235" s="14" t="n"/>
      <c r="G235" s="14" t="n"/>
      <c r="H235" s="13" t="n"/>
      <c r="I235" s="31" t="n"/>
      <c r="J235" s="12">
        <f>IF(ISNUMBER($A235),$A235+ROW()/100000,"")</f>
        <v/>
      </c>
      <c r="K235" s="12">
        <f>IF(AND(ISNUMBER($J235),$B235&lt;&gt;"",$B235='例_顧客カルテ'!$C$3),$J235,"")</f>
        <v/>
      </c>
    </row>
    <row r="236" ht="30" customHeight="1">
      <c r="A236" s="13" t="n"/>
      <c r="B236" s="7" t="n"/>
      <c r="C236" s="11">
        <f>IF($B236="","",IFERROR(INDEX('例_顧客一覧'!$C$5:$C$104,MATCH($B236,'例_顧客一覧'!$A$5:$A$104,0))&amp;"","※顧客一覧にないID"))</f>
        <v/>
      </c>
      <c r="D236" s="7" t="n"/>
      <c r="E236" s="7" t="n"/>
      <c r="F236" s="14" t="n"/>
      <c r="G236" s="14" t="n"/>
      <c r="H236" s="13" t="n"/>
      <c r="I236" s="31" t="n"/>
      <c r="J236" s="12">
        <f>IF(ISNUMBER($A236),$A236+ROW()/100000,"")</f>
        <v/>
      </c>
      <c r="K236" s="12">
        <f>IF(AND(ISNUMBER($J236),$B236&lt;&gt;"",$B236='例_顧客カルテ'!$C$3),$J236,"")</f>
        <v/>
      </c>
    </row>
    <row r="237" ht="30" customHeight="1">
      <c r="A237" s="13" t="n"/>
      <c r="B237" s="7" t="n"/>
      <c r="C237" s="11">
        <f>IF($B237="","",IFERROR(INDEX('例_顧客一覧'!$C$5:$C$104,MATCH($B237,'例_顧客一覧'!$A$5:$A$104,0))&amp;"","※顧客一覧にないID"))</f>
        <v/>
      </c>
      <c r="D237" s="7" t="n"/>
      <c r="E237" s="7" t="n"/>
      <c r="F237" s="14" t="n"/>
      <c r="G237" s="14" t="n"/>
      <c r="H237" s="13" t="n"/>
      <c r="I237" s="31" t="n"/>
      <c r="J237" s="12">
        <f>IF(ISNUMBER($A237),$A237+ROW()/100000,"")</f>
        <v/>
      </c>
      <c r="K237" s="12">
        <f>IF(AND(ISNUMBER($J237),$B237&lt;&gt;"",$B237='例_顧客カルテ'!$C$3),$J237,"")</f>
        <v/>
      </c>
    </row>
    <row r="238" ht="30" customHeight="1">
      <c r="A238" s="13" t="n"/>
      <c r="B238" s="7" t="n"/>
      <c r="C238" s="11">
        <f>IF($B238="","",IFERROR(INDEX('例_顧客一覧'!$C$5:$C$104,MATCH($B238,'例_顧客一覧'!$A$5:$A$104,0))&amp;"","※顧客一覧にないID"))</f>
        <v/>
      </c>
      <c r="D238" s="7" t="n"/>
      <c r="E238" s="7" t="n"/>
      <c r="F238" s="14" t="n"/>
      <c r="G238" s="14" t="n"/>
      <c r="H238" s="13" t="n"/>
      <c r="I238" s="31" t="n"/>
      <c r="J238" s="12">
        <f>IF(ISNUMBER($A238),$A238+ROW()/100000,"")</f>
        <v/>
      </c>
      <c r="K238" s="12">
        <f>IF(AND(ISNUMBER($J238),$B238&lt;&gt;"",$B238='例_顧客カルテ'!$C$3),$J238,"")</f>
        <v/>
      </c>
    </row>
    <row r="239" ht="30" customHeight="1">
      <c r="A239" s="13" t="n"/>
      <c r="B239" s="7" t="n"/>
      <c r="C239" s="11">
        <f>IF($B239="","",IFERROR(INDEX('例_顧客一覧'!$C$5:$C$104,MATCH($B239,'例_顧客一覧'!$A$5:$A$104,0))&amp;"","※顧客一覧にないID"))</f>
        <v/>
      </c>
      <c r="D239" s="7" t="n"/>
      <c r="E239" s="7" t="n"/>
      <c r="F239" s="14" t="n"/>
      <c r="G239" s="14" t="n"/>
      <c r="H239" s="13" t="n"/>
      <c r="I239" s="31" t="n"/>
      <c r="J239" s="12">
        <f>IF(ISNUMBER($A239),$A239+ROW()/100000,"")</f>
        <v/>
      </c>
      <c r="K239" s="12">
        <f>IF(AND(ISNUMBER($J239),$B239&lt;&gt;"",$B239='例_顧客カルテ'!$C$3),$J239,"")</f>
        <v/>
      </c>
    </row>
    <row r="240" ht="30" customHeight="1">
      <c r="A240" s="13" t="n"/>
      <c r="B240" s="7" t="n"/>
      <c r="C240" s="11">
        <f>IF($B240="","",IFERROR(INDEX('例_顧客一覧'!$C$5:$C$104,MATCH($B240,'例_顧客一覧'!$A$5:$A$104,0))&amp;"","※顧客一覧にないID"))</f>
        <v/>
      </c>
      <c r="D240" s="7" t="n"/>
      <c r="E240" s="7" t="n"/>
      <c r="F240" s="14" t="n"/>
      <c r="G240" s="14" t="n"/>
      <c r="H240" s="13" t="n"/>
      <c r="I240" s="31" t="n"/>
      <c r="J240" s="12">
        <f>IF(ISNUMBER($A240),$A240+ROW()/100000,"")</f>
        <v/>
      </c>
      <c r="K240" s="12">
        <f>IF(AND(ISNUMBER($J240),$B240&lt;&gt;"",$B240='例_顧客カルテ'!$C$3),$J240,"")</f>
        <v/>
      </c>
    </row>
    <row r="241" ht="30" customHeight="1">
      <c r="A241" s="13" t="n"/>
      <c r="B241" s="7" t="n"/>
      <c r="C241" s="11">
        <f>IF($B241="","",IFERROR(INDEX('例_顧客一覧'!$C$5:$C$104,MATCH($B241,'例_顧客一覧'!$A$5:$A$104,0))&amp;"","※顧客一覧にないID"))</f>
        <v/>
      </c>
      <c r="D241" s="7" t="n"/>
      <c r="E241" s="7" t="n"/>
      <c r="F241" s="14" t="n"/>
      <c r="G241" s="14" t="n"/>
      <c r="H241" s="13" t="n"/>
      <c r="I241" s="31" t="n"/>
      <c r="J241" s="12">
        <f>IF(ISNUMBER($A241),$A241+ROW()/100000,"")</f>
        <v/>
      </c>
      <c r="K241" s="12">
        <f>IF(AND(ISNUMBER($J241),$B241&lt;&gt;"",$B241='例_顧客カルテ'!$C$3),$J241,"")</f>
        <v/>
      </c>
    </row>
    <row r="242" ht="30" customHeight="1">
      <c r="A242" s="13" t="n"/>
      <c r="B242" s="7" t="n"/>
      <c r="C242" s="11">
        <f>IF($B242="","",IFERROR(INDEX('例_顧客一覧'!$C$5:$C$104,MATCH($B242,'例_顧客一覧'!$A$5:$A$104,0))&amp;"","※顧客一覧にないID"))</f>
        <v/>
      </c>
      <c r="D242" s="7" t="n"/>
      <c r="E242" s="7" t="n"/>
      <c r="F242" s="14" t="n"/>
      <c r="G242" s="14" t="n"/>
      <c r="H242" s="13" t="n"/>
      <c r="I242" s="31" t="n"/>
      <c r="J242" s="12">
        <f>IF(ISNUMBER($A242),$A242+ROW()/100000,"")</f>
        <v/>
      </c>
      <c r="K242" s="12">
        <f>IF(AND(ISNUMBER($J242),$B242&lt;&gt;"",$B242='例_顧客カルテ'!$C$3),$J242,"")</f>
        <v/>
      </c>
    </row>
    <row r="243" ht="30" customHeight="1">
      <c r="A243" s="13" t="n"/>
      <c r="B243" s="7" t="n"/>
      <c r="C243" s="11">
        <f>IF($B243="","",IFERROR(INDEX('例_顧客一覧'!$C$5:$C$104,MATCH($B243,'例_顧客一覧'!$A$5:$A$104,0))&amp;"","※顧客一覧にないID"))</f>
        <v/>
      </c>
      <c r="D243" s="7" t="n"/>
      <c r="E243" s="7" t="n"/>
      <c r="F243" s="14" t="n"/>
      <c r="G243" s="14" t="n"/>
      <c r="H243" s="13" t="n"/>
      <c r="I243" s="31" t="n"/>
      <c r="J243" s="12">
        <f>IF(ISNUMBER($A243),$A243+ROW()/100000,"")</f>
        <v/>
      </c>
      <c r="K243" s="12">
        <f>IF(AND(ISNUMBER($J243),$B243&lt;&gt;"",$B243='例_顧客カルテ'!$C$3),$J243,"")</f>
        <v/>
      </c>
    </row>
    <row r="244" ht="30" customHeight="1">
      <c r="A244" s="13" t="n"/>
      <c r="B244" s="7" t="n"/>
      <c r="C244" s="11">
        <f>IF($B244="","",IFERROR(INDEX('例_顧客一覧'!$C$5:$C$104,MATCH($B244,'例_顧客一覧'!$A$5:$A$104,0))&amp;"","※顧客一覧にないID"))</f>
        <v/>
      </c>
      <c r="D244" s="7" t="n"/>
      <c r="E244" s="7" t="n"/>
      <c r="F244" s="14" t="n"/>
      <c r="G244" s="14" t="n"/>
      <c r="H244" s="13" t="n"/>
      <c r="I244" s="31" t="n"/>
      <c r="J244" s="12">
        <f>IF(ISNUMBER($A244),$A244+ROW()/100000,"")</f>
        <v/>
      </c>
      <c r="K244" s="12">
        <f>IF(AND(ISNUMBER($J244),$B244&lt;&gt;"",$B244='例_顧客カルテ'!$C$3),$J244,"")</f>
        <v/>
      </c>
    </row>
    <row r="245" ht="30" customHeight="1">
      <c r="A245" s="13" t="n"/>
      <c r="B245" s="7" t="n"/>
      <c r="C245" s="11">
        <f>IF($B245="","",IFERROR(INDEX('例_顧客一覧'!$C$5:$C$104,MATCH($B245,'例_顧客一覧'!$A$5:$A$104,0))&amp;"","※顧客一覧にないID"))</f>
        <v/>
      </c>
      <c r="D245" s="7" t="n"/>
      <c r="E245" s="7" t="n"/>
      <c r="F245" s="14" t="n"/>
      <c r="G245" s="14" t="n"/>
      <c r="H245" s="13" t="n"/>
      <c r="I245" s="31" t="n"/>
      <c r="J245" s="12">
        <f>IF(ISNUMBER($A245),$A245+ROW()/100000,"")</f>
        <v/>
      </c>
      <c r="K245" s="12">
        <f>IF(AND(ISNUMBER($J245),$B245&lt;&gt;"",$B245='例_顧客カルテ'!$C$3),$J245,"")</f>
        <v/>
      </c>
    </row>
    <row r="246" ht="30" customHeight="1">
      <c r="A246" s="13" t="n"/>
      <c r="B246" s="7" t="n"/>
      <c r="C246" s="11">
        <f>IF($B246="","",IFERROR(INDEX('例_顧客一覧'!$C$5:$C$104,MATCH($B246,'例_顧客一覧'!$A$5:$A$104,0))&amp;"","※顧客一覧にないID"))</f>
        <v/>
      </c>
      <c r="D246" s="7" t="n"/>
      <c r="E246" s="7" t="n"/>
      <c r="F246" s="14" t="n"/>
      <c r="G246" s="14" t="n"/>
      <c r="H246" s="13" t="n"/>
      <c r="I246" s="31" t="n"/>
      <c r="J246" s="12">
        <f>IF(ISNUMBER($A246),$A246+ROW()/100000,"")</f>
        <v/>
      </c>
      <c r="K246" s="12">
        <f>IF(AND(ISNUMBER($J246),$B246&lt;&gt;"",$B246='例_顧客カルテ'!$C$3),$J246,"")</f>
        <v/>
      </c>
    </row>
    <row r="247" ht="30" customHeight="1">
      <c r="A247" s="13" t="n"/>
      <c r="B247" s="7" t="n"/>
      <c r="C247" s="11">
        <f>IF($B247="","",IFERROR(INDEX('例_顧客一覧'!$C$5:$C$104,MATCH($B247,'例_顧客一覧'!$A$5:$A$104,0))&amp;"","※顧客一覧にないID"))</f>
        <v/>
      </c>
      <c r="D247" s="7" t="n"/>
      <c r="E247" s="7" t="n"/>
      <c r="F247" s="14" t="n"/>
      <c r="G247" s="14" t="n"/>
      <c r="H247" s="13" t="n"/>
      <c r="I247" s="31" t="n"/>
      <c r="J247" s="12">
        <f>IF(ISNUMBER($A247),$A247+ROW()/100000,"")</f>
        <v/>
      </c>
      <c r="K247" s="12">
        <f>IF(AND(ISNUMBER($J247),$B247&lt;&gt;"",$B247='例_顧客カルテ'!$C$3),$J247,"")</f>
        <v/>
      </c>
    </row>
    <row r="248" ht="30" customHeight="1">
      <c r="A248" s="13" t="n"/>
      <c r="B248" s="7" t="n"/>
      <c r="C248" s="11">
        <f>IF($B248="","",IFERROR(INDEX('例_顧客一覧'!$C$5:$C$104,MATCH($B248,'例_顧客一覧'!$A$5:$A$104,0))&amp;"","※顧客一覧にないID"))</f>
        <v/>
      </c>
      <c r="D248" s="7" t="n"/>
      <c r="E248" s="7" t="n"/>
      <c r="F248" s="14" t="n"/>
      <c r="G248" s="14" t="n"/>
      <c r="H248" s="13" t="n"/>
      <c r="I248" s="31" t="n"/>
      <c r="J248" s="12">
        <f>IF(ISNUMBER($A248),$A248+ROW()/100000,"")</f>
        <v/>
      </c>
      <c r="K248" s="12">
        <f>IF(AND(ISNUMBER($J248),$B248&lt;&gt;"",$B248='例_顧客カルテ'!$C$3),$J248,"")</f>
        <v/>
      </c>
    </row>
    <row r="249" ht="30" customHeight="1">
      <c r="A249" s="13" t="n"/>
      <c r="B249" s="7" t="n"/>
      <c r="C249" s="11">
        <f>IF($B249="","",IFERROR(INDEX('例_顧客一覧'!$C$5:$C$104,MATCH($B249,'例_顧客一覧'!$A$5:$A$104,0))&amp;"","※顧客一覧にないID"))</f>
        <v/>
      </c>
      <c r="D249" s="7" t="n"/>
      <c r="E249" s="7" t="n"/>
      <c r="F249" s="14" t="n"/>
      <c r="G249" s="14" t="n"/>
      <c r="H249" s="13" t="n"/>
      <c r="I249" s="31" t="n"/>
      <c r="J249" s="12">
        <f>IF(ISNUMBER($A249),$A249+ROW()/100000,"")</f>
        <v/>
      </c>
      <c r="K249" s="12">
        <f>IF(AND(ISNUMBER($J249),$B249&lt;&gt;"",$B249='例_顧客カルテ'!$C$3),$J249,"")</f>
        <v/>
      </c>
    </row>
    <row r="250" ht="30" customHeight="1">
      <c r="A250" s="13" t="n"/>
      <c r="B250" s="7" t="n"/>
      <c r="C250" s="11">
        <f>IF($B250="","",IFERROR(INDEX('例_顧客一覧'!$C$5:$C$104,MATCH($B250,'例_顧客一覧'!$A$5:$A$104,0))&amp;"","※顧客一覧にないID"))</f>
        <v/>
      </c>
      <c r="D250" s="7" t="n"/>
      <c r="E250" s="7" t="n"/>
      <c r="F250" s="14" t="n"/>
      <c r="G250" s="14" t="n"/>
      <c r="H250" s="13" t="n"/>
      <c r="I250" s="31" t="n"/>
      <c r="J250" s="12">
        <f>IF(ISNUMBER($A250),$A250+ROW()/100000,"")</f>
        <v/>
      </c>
      <c r="K250" s="12">
        <f>IF(AND(ISNUMBER($J250),$B250&lt;&gt;"",$B250='例_顧客カルテ'!$C$3),$J250,"")</f>
        <v/>
      </c>
    </row>
    <row r="251" ht="30" customHeight="1">
      <c r="A251" s="13" t="n"/>
      <c r="B251" s="7" t="n"/>
      <c r="C251" s="11">
        <f>IF($B251="","",IFERROR(INDEX('例_顧客一覧'!$C$5:$C$104,MATCH($B251,'例_顧客一覧'!$A$5:$A$104,0))&amp;"","※顧客一覧にないID"))</f>
        <v/>
      </c>
      <c r="D251" s="7" t="n"/>
      <c r="E251" s="7" t="n"/>
      <c r="F251" s="14" t="n"/>
      <c r="G251" s="14" t="n"/>
      <c r="H251" s="13" t="n"/>
      <c r="I251" s="31" t="n"/>
      <c r="J251" s="12">
        <f>IF(ISNUMBER($A251),$A251+ROW()/100000,"")</f>
        <v/>
      </c>
      <c r="K251" s="12">
        <f>IF(AND(ISNUMBER($J251),$B251&lt;&gt;"",$B251='例_顧客カルテ'!$C$3),$J251,"")</f>
        <v/>
      </c>
    </row>
    <row r="252" ht="30" customHeight="1">
      <c r="A252" s="13" t="n"/>
      <c r="B252" s="7" t="n"/>
      <c r="C252" s="11">
        <f>IF($B252="","",IFERROR(INDEX('例_顧客一覧'!$C$5:$C$104,MATCH($B252,'例_顧客一覧'!$A$5:$A$104,0))&amp;"","※顧客一覧にないID"))</f>
        <v/>
      </c>
      <c r="D252" s="7" t="n"/>
      <c r="E252" s="7" t="n"/>
      <c r="F252" s="14" t="n"/>
      <c r="G252" s="14" t="n"/>
      <c r="H252" s="13" t="n"/>
      <c r="I252" s="31" t="n"/>
      <c r="J252" s="12">
        <f>IF(ISNUMBER($A252),$A252+ROW()/100000,"")</f>
        <v/>
      </c>
      <c r="K252" s="12">
        <f>IF(AND(ISNUMBER($J252),$B252&lt;&gt;"",$B252='例_顧客カルテ'!$C$3),$J252,"")</f>
        <v/>
      </c>
    </row>
    <row r="253" ht="30" customHeight="1">
      <c r="A253" s="13" t="n"/>
      <c r="B253" s="7" t="n"/>
      <c r="C253" s="11">
        <f>IF($B253="","",IFERROR(INDEX('例_顧客一覧'!$C$5:$C$104,MATCH($B253,'例_顧客一覧'!$A$5:$A$104,0))&amp;"","※顧客一覧にないID"))</f>
        <v/>
      </c>
      <c r="D253" s="7" t="n"/>
      <c r="E253" s="7" t="n"/>
      <c r="F253" s="14" t="n"/>
      <c r="G253" s="14" t="n"/>
      <c r="H253" s="13" t="n"/>
      <c r="I253" s="31" t="n"/>
      <c r="J253" s="12">
        <f>IF(ISNUMBER($A253),$A253+ROW()/100000,"")</f>
        <v/>
      </c>
      <c r="K253" s="12">
        <f>IF(AND(ISNUMBER($J253),$B253&lt;&gt;"",$B253='例_顧客カルテ'!$C$3),$J253,"")</f>
        <v/>
      </c>
    </row>
    <row r="254" ht="30" customHeight="1">
      <c r="A254" s="13" t="n"/>
      <c r="B254" s="7" t="n"/>
      <c r="C254" s="11">
        <f>IF($B254="","",IFERROR(INDEX('例_顧客一覧'!$C$5:$C$104,MATCH($B254,'例_顧客一覧'!$A$5:$A$104,0))&amp;"","※顧客一覧にないID"))</f>
        <v/>
      </c>
      <c r="D254" s="7" t="n"/>
      <c r="E254" s="7" t="n"/>
      <c r="F254" s="14" t="n"/>
      <c r="G254" s="14" t="n"/>
      <c r="H254" s="13" t="n"/>
      <c r="I254" s="31" t="n"/>
      <c r="J254" s="12">
        <f>IF(ISNUMBER($A254),$A254+ROW()/100000,"")</f>
        <v/>
      </c>
      <c r="K254" s="12">
        <f>IF(AND(ISNUMBER($J254),$B254&lt;&gt;"",$B254='例_顧客カルテ'!$C$3),$J254,"")</f>
        <v/>
      </c>
    </row>
    <row r="255" ht="30" customHeight="1">
      <c r="A255" s="13" t="n"/>
      <c r="B255" s="7" t="n"/>
      <c r="C255" s="11">
        <f>IF($B255="","",IFERROR(INDEX('例_顧客一覧'!$C$5:$C$104,MATCH($B255,'例_顧客一覧'!$A$5:$A$104,0))&amp;"","※顧客一覧にないID"))</f>
        <v/>
      </c>
      <c r="D255" s="7" t="n"/>
      <c r="E255" s="7" t="n"/>
      <c r="F255" s="14" t="n"/>
      <c r="G255" s="14" t="n"/>
      <c r="H255" s="13" t="n"/>
      <c r="I255" s="31" t="n"/>
      <c r="J255" s="12">
        <f>IF(ISNUMBER($A255),$A255+ROW()/100000,"")</f>
        <v/>
      </c>
      <c r="K255" s="12">
        <f>IF(AND(ISNUMBER($J255),$B255&lt;&gt;"",$B255='例_顧客カルテ'!$C$3),$J255,"")</f>
        <v/>
      </c>
    </row>
    <row r="256" ht="30" customHeight="1">
      <c r="A256" s="13" t="n"/>
      <c r="B256" s="7" t="n"/>
      <c r="C256" s="11">
        <f>IF($B256="","",IFERROR(INDEX('例_顧客一覧'!$C$5:$C$104,MATCH($B256,'例_顧客一覧'!$A$5:$A$104,0))&amp;"","※顧客一覧にないID"))</f>
        <v/>
      </c>
      <c r="D256" s="7" t="n"/>
      <c r="E256" s="7" t="n"/>
      <c r="F256" s="14" t="n"/>
      <c r="G256" s="14" t="n"/>
      <c r="H256" s="13" t="n"/>
      <c r="I256" s="31" t="n"/>
      <c r="J256" s="12">
        <f>IF(ISNUMBER($A256),$A256+ROW()/100000,"")</f>
        <v/>
      </c>
      <c r="K256" s="12">
        <f>IF(AND(ISNUMBER($J256),$B256&lt;&gt;"",$B256='例_顧客カルテ'!$C$3),$J256,"")</f>
        <v/>
      </c>
    </row>
    <row r="257" ht="30" customHeight="1">
      <c r="A257" s="13" t="n"/>
      <c r="B257" s="7" t="n"/>
      <c r="C257" s="11">
        <f>IF($B257="","",IFERROR(INDEX('例_顧客一覧'!$C$5:$C$104,MATCH($B257,'例_顧客一覧'!$A$5:$A$104,0))&amp;"","※顧客一覧にないID"))</f>
        <v/>
      </c>
      <c r="D257" s="7" t="n"/>
      <c r="E257" s="7" t="n"/>
      <c r="F257" s="14" t="n"/>
      <c r="G257" s="14" t="n"/>
      <c r="H257" s="13" t="n"/>
      <c r="I257" s="31" t="n"/>
      <c r="J257" s="12">
        <f>IF(ISNUMBER($A257),$A257+ROW()/100000,"")</f>
        <v/>
      </c>
      <c r="K257" s="12">
        <f>IF(AND(ISNUMBER($J257),$B257&lt;&gt;"",$B257='例_顧客カルテ'!$C$3),$J257,"")</f>
        <v/>
      </c>
    </row>
    <row r="258" ht="30" customHeight="1">
      <c r="A258" s="13" t="n"/>
      <c r="B258" s="7" t="n"/>
      <c r="C258" s="11">
        <f>IF($B258="","",IFERROR(INDEX('例_顧客一覧'!$C$5:$C$104,MATCH($B258,'例_顧客一覧'!$A$5:$A$104,0))&amp;"","※顧客一覧にないID"))</f>
        <v/>
      </c>
      <c r="D258" s="7" t="n"/>
      <c r="E258" s="7" t="n"/>
      <c r="F258" s="14" t="n"/>
      <c r="G258" s="14" t="n"/>
      <c r="H258" s="13" t="n"/>
      <c r="I258" s="31" t="n"/>
      <c r="J258" s="12">
        <f>IF(ISNUMBER($A258),$A258+ROW()/100000,"")</f>
        <v/>
      </c>
      <c r="K258" s="12">
        <f>IF(AND(ISNUMBER($J258),$B258&lt;&gt;"",$B258='例_顧客カルテ'!$C$3),$J258,"")</f>
        <v/>
      </c>
    </row>
    <row r="259" ht="30" customHeight="1">
      <c r="A259" s="13" t="n"/>
      <c r="B259" s="7" t="n"/>
      <c r="C259" s="11">
        <f>IF($B259="","",IFERROR(INDEX('例_顧客一覧'!$C$5:$C$104,MATCH($B259,'例_顧客一覧'!$A$5:$A$104,0))&amp;"","※顧客一覧にないID"))</f>
        <v/>
      </c>
      <c r="D259" s="7" t="n"/>
      <c r="E259" s="7" t="n"/>
      <c r="F259" s="14" t="n"/>
      <c r="G259" s="14" t="n"/>
      <c r="H259" s="13" t="n"/>
      <c r="I259" s="31" t="n"/>
      <c r="J259" s="12">
        <f>IF(ISNUMBER($A259),$A259+ROW()/100000,"")</f>
        <v/>
      </c>
      <c r="K259" s="12">
        <f>IF(AND(ISNUMBER($J259),$B259&lt;&gt;"",$B259='例_顧客カルテ'!$C$3),$J259,"")</f>
        <v/>
      </c>
    </row>
    <row r="260" ht="30" customHeight="1">
      <c r="A260" s="13" t="n"/>
      <c r="B260" s="7" t="n"/>
      <c r="C260" s="11">
        <f>IF($B260="","",IFERROR(INDEX('例_顧客一覧'!$C$5:$C$104,MATCH($B260,'例_顧客一覧'!$A$5:$A$104,0))&amp;"","※顧客一覧にないID"))</f>
        <v/>
      </c>
      <c r="D260" s="7" t="n"/>
      <c r="E260" s="7" t="n"/>
      <c r="F260" s="14" t="n"/>
      <c r="G260" s="14" t="n"/>
      <c r="H260" s="13" t="n"/>
      <c r="I260" s="31" t="n"/>
      <c r="J260" s="12">
        <f>IF(ISNUMBER($A260),$A260+ROW()/100000,"")</f>
        <v/>
      </c>
      <c r="K260" s="12">
        <f>IF(AND(ISNUMBER($J260),$B260&lt;&gt;"",$B260='例_顧客カルテ'!$C$3),$J260,"")</f>
        <v/>
      </c>
    </row>
    <row r="261" ht="30" customHeight="1">
      <c r="A261" s="13" t="n"/>
      <c r="B261" s="7" t="n"/>
      <c r="C261" s="11">
        <f>IF($B261="","",IFERROR(INDEX('例_顧客一覧'!$C$5:$C$104,MATCH($B261,'例_顧客一覧'!$A$5:$A$104,0))&amp;"","※顧客一覧にないID"))</f>
        <v/>
      </c>
      <c r="D261" s="7" t="n"/>
      <c r="E261" s="7" t="n"/>
      <c r="F261" s="14" t="n"/>
      <c r="G261" s="14" t="n"/>
      <c r="H261" s="13" t="n"/>
      <c r="I261" s="31" t="n"/>
      <c r="J261" s="12">
        <f>IF(ISNUMBER($A261),$A261+ROW()/100000,"")</f>
        <v/>
      </c>
      <c r="K261" s="12">
        <f>IF(AND(ISNUMBER($J261),$B261&lt;&gt;"",$B261='例_顧客カルテ'!$C$3),$J261,"")</f>
        <v/>
      </c>
    </row>
    <row r="262" ht="30" customHeight="1">
      <c r="A262" s="13" t="n"/>
      <c r="B262" s="7" t="n"/>
      <c r="C262" s="11">
        <f>IF($B262="","",IFERROR(INDEX('例_顧客一覧'!$C$5:$C$104,MATCH($B262,'例_顧客一覧'!$A$5:$A$104,0))&amp;"","※顧客一覧にないID"))</f>
        <v/>
      </c>
      <c r="D262" s="7" t="n"/>
      <c r="E262" s="7" t="n"/>
      <c r="F262" s="14" t="n"/>
      <c r="G262" s="14" t="n"/>
      <c r="H262" s="13" t="n"/>
      <c r="I262" s="31" t="n"/>
      <c r="J262" s="12">
        <f>IF(ISNUMBER($A262),$A262+ROW()/100000,"")</f>
        <v/>
      </c>
      <c r="K262" s="12">
        <f>IF(AND(ISNUMBER($J262),$B262&lt;&gt;"",$B262='例_顧客カルテ'!$C$3),$J262,"")</f>
        <v/>
      </c>
    </row>
    <row r="263" ht="30" customHeight="1">
      <c r="A263" s="13" t="n"/>
      <c r="B263" s="7" t="n"/>
      <c r="C263" s="11">
        <f>IF($B263="","",IFERROR(INDEX('例_顧客一覧'!$C$5:$C$104,MATCH($B263,'例_顧客一覧'!$A$5:$A$104,0))&amp;"","※顧客一覧にないID"))</f>
        <v/>
      </c>
      <c r="D263" s="7" t="n"/>
      <c r="E263" s="7" t="n"/>
      <c r="F263" s="14" t="n"/>
      <c r="G263" s="14" t="n"/>
      <c r="H263" s="13" t="n"/>
      <c r="I263" s="31" t="n"/>
      <c r="J263" s="12">
        <f>IF(ISNUMBER($A263),$A263+ROW()/100000,"")</f>
        <v/>
      </c>
      <c r="K263" s="12">
        <f>IF(AND(ISNUMBER($J263),$B263&lt;&gt;"",$B263='例_顧客カルテ'!$C$3),$J263,"")</f>
        <v/>
      </c>
    </row>
    <row r="264" ht="30" customHeight="1">
      <c r="A264" s="13" t="n"/>
      <c r="B264" s="7" t="n"/>
      <c r="C264" s="11">
        <f>IF($B264="","",IFERROR(INDEX('例_顧客一覧'!$C$5:$C$104,MATCH($B264,'例_顧客一覧'!$A$5:$A$104,0))&amp;"","※顧客一覧にないID"))</f>
        <v/>
      </c>
      <c r="D264" s="7" t="n"/>
      <c r="E264" s="7" t="n"/>
      <c r="F264" s="14" t="n"/>
      <c r="G264" s="14" t="n"/>
      <c r="H264" s="13" t="n"/>
      <c r="I264" s="31" t="n"/>
      <c r="J264" s="12">
        <f>IF(ISNUMBER($A264),$A264+ROW()/100000,"")</f>
        <v/>
      </c>
      <c r="K264" s="12">
        <f>IF(AND(ISNUMBER($J264),$B264&lt;&gt;"",$B264='例_顧客カルテ'!$C$3),$J264,"")</f>
        <v/>
      </c>
    </row>
    <row r="265" ht="30" customHeight="1">
      <c r="A265" s="13" t="n"/>
      <c r="B265" s="7" t="n"/>
      <c r="C265" s="11">
        <f>IF($B265="","",IFERROR(INDEX('例_顧客一覧'!$C$5:$C$104,MATCH($B265,'例_顧客一覧'!$A$5:$A$104,0))&amp;"","※顧客一覧にないID"))</f>
        <v/>
      </c>
      <c r="D265" s="7" t="n"/>
      <c r="E265" s="7" t="n"/>
      <c r="F265" s="14" t="n"/>
      <c r="G265" s="14" t="n"/>
      <c r="H265" s="13" t="n"/>
      <c r="I265" s="31" t="n"/>
      <c r="J265" s="12">
        <f>IF(ISNUMBER($A265),$A265+ROW()/100000,"")</f>
        <v/>
      </c>
      <c r="K265" s="12">
        <f>IF(AND(ISNUMBER($J265),$B265&lt;&gt;"",$B265='例_顧客カルテ'!$C$3),$J265,"")</f>
        <v/>
      </c>
    </row>
    <row r="266" ht="30" customHeight="1">
      <c r="A266" s="13" t="n"/>
      <c r="B266" s="7" t="n"/>
      <c r="C266" s="11">
        <f>IF($B266="","",IFERROR(INDEX('例_顧客一覧'!$C$5:$C$104,MATCH($B266,'例_顧客一覧'!$A$5:$A$104,0))&amp;"","※顧客一覧にないID"))</f>
        <v/>
      </c>
      <c r="D266" s="7" t="n"/>
      <c r="E266" s="7" t="n"/>
      <c r="F266" s="14" t="n"/>
      <c r="G266" s="14" t="n"/>
      <c r="H266" s="13" t="n"/>
      <c r="I266" s="31" t="n"/>
      <c r="J266" s="12">
        <f>IF(ISNUMBER($A266),$A266+ROW()/100000,"")</f>
        <v/>
      </c>
      <c r="K266" s="12">
        <f>IF(AND(ISNUMBER($J266),$B266&lt;&gt;"",$B266='例_顧客カルテ'!$C$3),$J266,"")</f>
        <v/>
      </c>
    </row>
    <row r="267" ht="30" customHeight="1">
      <c r="A267" s="13" t="n"/>
      <c r="B267" s="7" t="n"/>
      <c r="C267" s="11">
        <f>IF($B267="","",IFERROR(INDEX('例_顧客一覧'!$C$5:$C$104,MATCH($B267,'例_顧客一覧'!$A$5:$A$104,0))&amp;"","※顧客一覧にないID"))</f>
        <v/>
      </c>
      <c r="D267" s="7" t="n"/>
      <c r="E267" s="7" t="n"/>
      <c r="F267" s="14" t="n"/>
      <c r="G267" s="14" t="n"/>
      <c r="H267" s="13" t="n"/>
      <c r="I267" s="31" t="n"/>
      <c r="J267" s="12">
        <f>IF(ISNUMBER($A267),$A267+ROW()/100000,"")</f>
        <v/>
      </c>
      <c r="K267" s="12">
        <f>IF(AND(ISNUMBER($J267),$B267&lt;&gt;"",$B267='例_顧客カルテ'!$C$3),$J267,"")</f>
        <v/>
      </c>
    </row>
    <row r="268" ht="30" customHeight="1">
      <c r="A268" s="13" t="n"/>
      <c r="B268" s="7" t="n"/>
      <c r="C268" s="11">
        <f>IF($B268="","",IFERROR(INDEX('例_顧客一覧'!$C$5:$C$104,MATCH($B268,'例_顧客一覧'!$A$5:$A$104,0))&amp;"","※顧客一覧にないID"))</f>
        <v/>
      </c>
      <c r="D268" s="7" t="n"/>
      <c r="E268" s="7" t="n"/>
      <c r="F268" s="14" t="n"/>
      <c r="G268" s="14" t="n"/>
      <c r="H268" s="13" t="n"/>
      <c r="I268" s="31" t="n"/>
      <c r="J268" s="12">
        <f>IF(ISNUMBER($A268),$A268+ROW()/100000,"")</f>
        <v/>
      </c>
      <c r="K268" s="12">
        <f>IF(AND(ISNUMBER($J268),$B268&lt;&gt;"",$B268='例_顧客カルテ'!$C$3),$J268,"")</f>
        <v/>
      </c>
    </row>
    <row r="269" ht="30" customHeight="1">
      <c r="A269" s="13" t="n"/>
      <c r="B269" s="7" t="n"/>
      <c r="C269" s="11">
        <f>IF($B269="","",IFERROR(INDEX('例_顧客一覧'!$C$5:$C$104,MATCH($B269,'例_顧客一覧'!$A$5:$A$104,0))&amp;"","※顧客一覧にないID"))</f>
        <v/>
      </c>
      <c r="D269" s="7" t="n"/>
      <c r="E269" s="7" t="n"/>
      <c r="F269" s="14" t="n"/>
      <c r="G269" s="14" t="n"/>
      <c r="H269" s="13" t="n"/>
      <c r="I269" s="31" t="n"/>
      <c r="J269" s="12">
        <f>IF(ISNUMBER($A269),$A269+ROW()/100000,"")</f>
        <v/>
      </c>
      <c r="K269" s="12">
        <f>IF(AND(ISNUMBER($J269),$B269&lt;&gt;"",$B269='例_顧客カルテ'!$C$3),$J269,"")</f>
        <v/>
      </c>
    </row>
    <row r="270" ht="30" customHeight="1">
      <c r="A270" s="13" t="n"/>
      <c r="B270" s="7" t="n"/>
      <c r="C270" s="11">
        <f>IF($B270="","",IFERROR(INDEX('例_顧客一覧'!$C$5:$C$104,MATCH($B270,'例_顧客一覧'!$A$5:$A$104,0))&amp;"","※顧客一覧にないID"))</f>
        <v/>
      </c>
      <c r="D270" s="7" t="n"/>
      <c r="E270" s="7" t="n"/>
      <c r="F270" s="14" t="n"/>
      <c r="G270" s="14" t="n"/>
      <c r="H270" s="13" t="n"/>
      <c r="I270" s="31" t="n"/>
      <c r="J270" s="12">
        <f>IF(ISNUMBER($A270),$A270+ROW()/100000,"")</f>
        <v/>
      </c>
      <c r="K270" s="12">
        <f>IF(AND(ISNUMBER($J270),$B270&lt;&gt;"",$B270='例_顧客カルテ'!$C$3),$J270,"")</f>
        <v/>
      </c>
    </row>
    <row r="271" ht="30" customHeight="1">
      <c r="A271" s="13" t="n"/>
      <c r="B271" s="7" t="n"/>
      <c r="C271" s="11">
        <f>IF($B271="","",IFERROR(INDEX('例_顧客一覧'!$C$5:$C$104,MATCH($B271,'例_顧客一覧'!$A$5:$A$104,0))&amp;"","※顧客一覧にないID"))</f>
        <v/>
      </c>
      <c r="D271" s="7" t="n"/>
      <c r="E271" s="7" t="n"/>
      <c r="F271" s="14" t="n"/>
      <c r="G271" s="14" t="n"/>
      <c r="H271" s="13" t="n"/>
      <c r="I271" s="31" t="n"/>
      <c r="J271" s="12">
        <f>IF(ISNUMBER($A271),$A271+ROW()/100000,"")</f>
        <v/>
      </c>
      <c r="K271" s="12">
        <f>IF(AND(ISNUMBER($J271),$B271&lt;&gt;"",$B271='例_顧客カルテ'!$C$3),$J271,"")</f>
        <v/>
      </c>
    </row>
    <row r="272" ht="30" customHeight="1">
      <c r="A272" s="13" t="n"/>
      <c r="B272" s="7" t="n"/>
      <c r="C272" s="11">
        <f>IF($B272="","",IFERROR(INDEX('例_顧客一覧'!$C$5:$C$104,MATCH($B272,'例_顧客一覧'!$A$5:$A$104,0))&amp;"","※顧客一覧にないID"))</f>
        <v/>
      </c>
      <c r="D272" s="7" t="n"/>
      <c r="E272" s="7" t="n"/>
      <c r="F272" s="14" t="n"/>
      <c r="G272" s="14" t="n"/>
      <c r="H272" s="13" t="n"/>
      <c r="I272" s="31" t="n"/>
      <c r="J272" s="12">
        <f>IF(ISNUMBER($A272),$A272+ROW()/100000,"")</f>
        <v/>
      </c>
      <c r="K272" s="12">
        <f>IF(AND(ISNUMBER($J272),$B272&lt;&gt;"",$B272='例_顧客カルテ'!$C$3),$J272,"")</f>
        <v/>
      </c>
    </row>
    <row r="273" ht="30" customHeight="1">
      <c r="A273" s="13" t="n"/>
      <c r="B273" s="7" t="n"/>
      <c r="C273" s="11">
        <f>IF($B273="","",IFERROR(INDEX('例_顧客一覧'!$C$5:$C$104,MATCH($B273,'例_顧客一覧'!$A$5:$A$104,0))&amp;"","※顧客一覧にないID"))</f>
        <v/>
      </c>
      <c r="D273" s="7" t="n"/>
      <c r="E273" s="7" t="n"/>
      <c r="F273" s="14" t="n"/>
      <c r="G273" s="14" t="n"/>
      <c r="H273" s="13" t="n"/>
      <c r="I273" s="31" t="n"/>
      <c r="J273" s="12">
        <f>IF(ISNUMBER($A273),$A273+ROW()/100000,"")</f>
        <v/>
      </c>
      <c r="K273" s="12">
        <f>IF(AND(ISNUMBER($J273),$B273&lt;&gt;"",$B273='例_顧客カルテ'!$C$3),$J273,"")</f>
        <v/>
      </c>
    </row>
    <row r="274" ht="30" customHeight="1">
      <c r="A274" s="13" t="n"/>
      <c r="B274" s="7" t="n"/>
      <c r="C274" s="11">
        <f>IF($B274="","",IFERROR(INDEX('例_顧客一覧'!$C$5:$C$104,MATCH($B274,'例_顧客一覧'!$A$5:$A$104,0))&amp;"","※顧客一覧にないID"))</f>
        <v/>
      </c>
      <c r="D274" s="7" t="n"/>
      <c r="E274" s="7" t="n"/>
      <c r="F274" s="14" t="n"/>
      <c r="G274" s="14" t="n"/>
      <c r="H274" s="13" t="n"/>
      <c r="I274" s="31" t="n"/>
      <c r="J274" s="12">
        <f>IF(ISNUMBER($A274),$A274+ROW()/100000,"")</f>
        <v/>
      </c>
      <c r="K274" s="12">
        <f>IF(AND(ISNUMBER($J274),$B274&lt;&gt;"",$B274='例_顧客カルテ'!$C$3),$J274,"")</f>
        <v/>
      </c>
    </row>
    <row r="275" ht="30" customHeight="1">
      <c r="A275" s="13" t="n"/>
      <c r="B275" s="7" t="n"/>
      <c r="C275" s="11">
        <f>IF($B275="","",IFERROR(INDEX('例_顧客一覧'!$C$5:$C$104,MATCH($B275,'例_顧客一覧'!$A$5:$A$104,0))&amp;"","※顧客一覧にないID"))</f>
        <v/>
      </c>
      <c r="D275" s="7" t="n"/>
      <c r="E275" s="7" t="n"/>
      <c r="F275" s="14" t="n"/>
      <c r="G275" s="14" t="n"/>
      <c r="H275" s="13" t="n"/>
      <c r="I275" s="31" t="n"/>
      <c r="J275" s="12">
        <f>IF(ISNUMBER($A275),$A275+ROW()/100000,"")</f>
        <v/>
      </c>
      <c r="K275" s="12">
        <f>IF(AND(ISNUMBER($J275),$B275&lt;&gt;"",$B275='例_顧客カルテ'!$C$3),$J275,"")</f>
        <v/>
      </c>
    </row>
    <row r="276" ht="30" customHeight="1">
      <c r="A276" s="13" t="n"/>
      <c r="B276" s="7" t="n"/>
      <c r="C276" s="11">
        <f>IF($B276="","",IFERROR(INDEX('例_顧客一覧'!$C$5:$C$104,MATCH($B276,'例_顧客一覧'!$A$5:$A$104,0))&amp;"","※顧客一覧にないID"))</f>
        <v/>
      </c>
      <c r="D276" s="7" t="n"/>
      <c r="E276" s="7" t="n"/>
      <c r="F276" s="14" t="n"/>
      <c r="G276" s="14" t="n"/>
      <c r="H276" s="13" t="n"/>
      <c r="I276" s="31" t="n"/>
      <c r="J276" s="12">
        <f>IF(ISNUMBER($A276),$A276+ROW()/100000,"")</f>
        <v/>
      </c>
      <c r="K276" s="12">
        <f>IF(AND(ISNUMBER($J276),$B276&lt;&gt;"",$B276='例_顧客カルテ'!$C$3),$J276,"")</f>
        <v/>
      </c>
    </row>
    <row r="277" ht="30" customHeight="1">
      <c r="A277" s="13" t="n"/>
      <c r="B277" s="7" t="n"/>
      <c r="C277" s="11">
        <f>IF($B277="","",IFERROR(INDEX('例_顧客一覧'!$C$5:$C$104,MATCH($B277,'例_顧客一覧'!$A$5:$A$104,0))&amp;"","※顧客一覧にないID"))</f>
        <v/>
      </c>
      <c r="D277" s="7" t="n"/>
      <c r="E277" s="7" t="n"/>
      <c r="F277" s="14" t="n"/>
      <c r="G277" s="14" t="n"/>
      <c r="H277" s="13" t="n"/>
      <c r="I277" s="31" t="n"/>
      <c r="J277" s="12">
        <f>IF(ISNUMBER($A277),$A277+ROW()/100000,"")</f>
        <v/>
      </c>
      <c r="K277" s="12">
        <f>IF(AND(ISNUMBER($J277),$B277&lt;&gt;"",$B277='例_顧客カルテ'!$C$3),$J277,"")</f>
        <v/>
      </c>
    </row>
    <row r="278" ht="30" customHeight="1">
      <c r="A278" s="13" t="n"/>
      <c r="B278" s="7" t="n"/>
      <c r="C278" s="11">
        <f>IF($B278="","",IFERROR(INDEX('例_顧客一覧'!$C$5:$C$104,MATCH($B278,'例_顧客一覧'!$A$5:$A$104,0))&amp;"","※顧客一覧にないID"))</f>
        <v/>
      </c>
      <c r="D278" s="7" t="n"/>
      <c r="E278" s="7" t="n"/>
      <c r="F278" s="14" t="n"/>
      <c r="G278" s="14" t="n"/>
      <c r="H278" s="13" t="n"/>
      <c r="I278" s="31" t="n"/>
      <c r="J278" s="12">
        <f>IF(ISNUMBER($A278),$A278+ROW()/100000,"")</f>
        <v/>
      </c>
      <c r="K278" s="12">
        <f>IF(AND(ISNUMBER($J278),$B278&lt;&gt;"",$B278='例_顧客カルテ'!$C$3),$J278,"")</f>
        <v/>
      </c>
    </row>
    <row r="279" ht="30" customHeight="1">
      <c r="A279" s="13" t="n"/>
      <c r="B279" s="7" t="n"/>
      <c r="C279" s="11">
        <f>IF($B279="","",IFERROR(INDEX('例_顧客一覧'!$C$5:$C$104,MATCH($B279,'例_顧客一覧'!$A$5:$A$104,0))&amp;"","※顧客一覧にないID"))</f>
        <v/>
      </c>
      <c r="D279" s="7" t="n"/>
      <c r="E279" s="7" t="n"/>
      <c r="F279" s="14" t="n"/>
      <c r="G279" s="14" t="n"/>
      <c r="H279" s="13" t="n"/>
      <c r="I279" s="31" t="n"/>
      <c r="J279" s="12">
        <f>IF(ISNUMBER($A279),$A279+ROW()/100000,"")</f>
        <v/>
      </c>
      <c r="K279" s="12">
        <f>IF(AND(ISNUMBER($J279),$B279&lt;&gt;"",$B279='例_顧客カルテ'!$C$3),$J279,"")</f>
        <v/>
      </c>
    </row>
    <row r="280" ht="30" customHeight="1">
      <c r="A280" s="13" t="n"/>
      <c r="B280" s="7" t="n"/>
      <c r="C280" s="11">
        <f>IF($B280="","",IFERROR(INDEX('例_顧客一覧'!$C$5:$C$104,MATCH($B280,'例_顧客一覧'!$A$5:$A$104,0))&amp;"","※顧客一覧にないID"))</f>
        <v/>
      </c>
      <c r="D280" s="7" t="n"/>
      <c r="E280" s="7" t="n"/>
      <c r="F280" s="14" t="n"/>
      <c r="G280" s="14" t="n"/>
      <c r="H280" s="13" t="n"/>
      <c r="I280" s="31" t="n"/>
      <c r="J280" s="12">
        <f>IF(ISNUMBER($A280),$A280+ROW()/100000,"")</f>
        <v/>
      </c>
      <c r="K280" s="12">
        <f>IF(AND(ISNUMBER($J280),$B280&lt;&gt;"",$B280='例_顧客カルテ'!$C$3),$J280,"")</f>
        <v/>
      </c>
    </row>
    <row r="281" ht="30" customHeight="1">
      <c r="A281" s="13" t="n"/>
      <c r="B281" s="7" t="n"/>
      <c r="C281" s="11">
        <f>IF($B281="","",IFERROR(INDEX('例_顧客一覧'!$C$5:$C$104,MATCH($B281,'例_顧客一覧'!$A$5:$A$104,0))&amp;"","※顧客一覧にないID"))</f>
        <v/>
      </c>
      <c r="D281" s="7" t="n"/>
      <c r="E281" s="7" t="n"/>
      <c r="F281" s="14" t="n"/>
      <c r="G281" s="14" t="n"/>
      <c r="H281" s="13" t="n"/>
      <c r="I281" s="31" t="n"/>
      <c r="J281" s="12">
        <f>IF(ISNUMBER($A281),$A281+ROW()/100000,"")</f>
        <v/>
      </c>
      <c r="K281" s="12">
        <f>IF(AND(ISNUMBER($J281),$B281&lt;&gt;"",$B281='例_顧客カルテ'!$C$3),$J281,"")</f>
        <v/>
      </c>
    </row>
    <row r="282" ht="30" customHeight="1">
      <c r="A282" s="13" t="n"/>
      <c r="B282" s="7" t="n"/>
      <c r="C282" s="11">
        <f>IF($B282="","",IFERROR(INDEX('例_顧客一覧'!$C$5:$C$104,MATCH($B282,'例_顧客一覧'!$A$5:$A$104,0))&amp;"","※顧客一覧にないID"))</f>
        <v/>
      </c>
      <c r="D282" s="7" t="n"/>
      <c r="E282" s="7" t="n"/>
      <c r="F282" s="14" t="n"/>
      <c r="G282" s="14" t="n"/>
      <c r="H282" s="13" t="n"/>
      <c r="I282" s="31" t="n"/>
      <c r="J282" s="12">
        <f>IF(ISNUMBER($A282),$A282+ROW()/100000,"")</f>
        <v/>
      </c>
      <c r="K282" s="12">
        <f>IF(AND(ISNUMBER($J282),$B282&lt;&gt;"",$B282='例_顧客カルテ'!$C$3),$J282,"")</f>
        <v/>
      </c>
    </row>
    <row r="283" ht="30" customHeight="1">
      <c r="A283" s="13" t="n"/>
      <c r="B283" s="7" t="n"/>
      <c r="C283" s="11">
        <f>IF($B283="","",IFERROR(INDEX('例_顧客一覧'!$C$5:$C$104,MATCH($B283,'例_顧客一覧'!$A$5:$A$104,0))&amp;"","※顧客一覧にないID"))</f>
        <v/>
      </c>
      <c r="D283" s="7" t="n"/>
      <c r="E283" s="7" t="n"/>
      <c r="F283" s="14" t="n"/>
      <c r="G283" s="14" t="n"/>
      <c r="H283" s="13" t="n"/>
      <c r="I283" s="31" t="n"/>
      <c r="J283" s="12">
        <f>IF(ISNUMBER($A283),$A283+ROW()/100000,"")</f>
        <v/>
      </c>
      <c r="K283" s="12">
        <f>IF(AND(ISNUMBER($J283),$B283&lt;&gt;"",$B283='例_顧客カルテ'!$C$3),$J283,"")</f>
        <v/>
      </c>
    </row>
    <row r="284" ht="30" customHeight="1">
      <c r="A284" s="13" t="n"/>
      <c r="B284" s="7" t="n"/>
      <c r="C284" s="11">
        <f>IF($B284="","",IFERROR(INDEX('例_顧客一覧'!$C$5:$C$104,MATCH($B284,'例_顧客一覧'!$A$5:$A$104,0))&amp;"","※顧客一覧にないID"))</f>
        <v/>
      </c>
      <c r="D284" s="7" t="n"/>
      <c r="E284" s="7" t="n"/>
      <c r="F284" s="14" t="n"/>
      <c r="G284" s="14" t="n"/>
      <c r="H284" s="13" t="n"/>
      <c r="I284" s="31" t="n"/>
      <c r="J284" s="12">
        <f>IF(ISNUMBER($A284),$A284+ROW()/100000,"")</f>
        <v/>
      </c>
      <c r="K284" s="12">
        <f>IF(AND(ISNUMBER($J284),$B284&lt;&gt;"",$B284='例_顧客カルテ'!$C$3),$J284,"")</f>
        <v/>
      </c>
    </row>
    <row r="285" ht="30" customHeight="1">
      <c r="A285" s="13" t="n"/>
      <c r="B285" s="7" t="n"/>
      <c r="C285" s="11">
        <f>IF($B285="","",IFERROR(INDEX('例_顧客一覧'!$C$5:$C$104,MATCH($B285,'例_顧客一覧'!$A$5:$A$104,0))&amp;"","※顧客一覧にないID"))</f>
        <v/>
      </c>
      <c r="D285" s="7" t="n"/>
      <c r="E285" s="7" t="n"/>
      <c r="F285" s="14" t="n"/>
      <c r="G285" s="14" t="n"/>
      <c r="H285" s="13" t="n"/>
      <c r="I285" s="31" t="n"/>
      <c r="J285" s="12">
        <f>IF(ISNUMBER($A285),$A285+ROW()/100000,"")</f>
        <v/>
      </c>
      <c r="K285" s="12">
        <f>IF(AND(ISNUMBER($J285),$B285&lt;&gt;"",$B285='例_顧客カルテ'!$C$3),$J285,"")</f>
        <v/>
      </c>
    </row>
    <row r="286" ht="30" customHeight="1">
      <c r="A286" s="13" t="n"/>
      <c r="B286" s="7" t="n"/>
      <c r="C286" s="11">
        <f>IF($B286="","",IFERROR(INDEX('例_顧客一覧'!$C$5:$C$104,MATCH($B286,'例_顧客一覧'!$A$5:$A$104,0))&amp;"","※顧客一覧にないID"))</f>
        <v/>
      </c>
      <c r="D286" s="7" t="n"/>
      <c r="E286" s="7" t="n"/>
      <c r="F286" s="14" t="n"/>
      <c r="G286" s="14" t="n"/>
      <c r="H286" s="13" t="n"/>
      <c r="I286" s="31" t="n"/>
      <c r="J286" s="12">
        <f>IF(ISNUMBER($A286),$A286+ROW()/100000,"")</f>
        <v/>
      </c>
      <c r="K286" s="12">
        <f>IF(AND(ISNUMBER($J286),$B286&lt;&gt;"",$B286='例_顧客カルテ'!$C$3),$J286,"")</f>
        <v/>
      </c>
    </row>
    <row r="287" ht="30" customHeight="1">
      <c r="A287" s="13" t="n"/>
      <c r="B287" s="7" t="n"/>
      <c r="C287" s="11">
        <f>IF($B287="","",IFERROR(INDEX('例_顧客一覧'!$C$5:$C$104,MATCH($B287,'例_顧客一覧'!$A$5:$A$104,0))&amp;"","※顧客一覧にないID"))</f>
        <v/>
      </c>
      <c r="D287" s="7" t="n"/>
      <c r="E287" s="7" t="n"/>
      <c r="F287" s="14" t="n"/>
      <c r="G287" s="14" t="n"/>
      <c r="H287" s="13" t="n"/>
      <c r="I287" s="31" t="n"/>
      <c r="J287" s="12">
        <f>IF(ISNUMBER($A287),$A287+ROW()/100000,"")</f>
        <v/>
      </c>
      <c r="K287" s="12">
        <f>IF(AND(ISNUMBER($J287),$B287&lt;&gt;"",$B287='例_顧客カルテ'!$C$3),$J287,"")</f>
        <v/>
      </c>
    </row>
    <row r="288" ht="30" customHeight="1">
      <c r="A288" s="13" t="n"/>
      <c r="B288" s="7" t="n"/>
      <c r="C288" s="11">
        <f>IF($B288="","",IFERROR(INDEX('例_顧客一覧'!$C$5:$C$104,MATCH($B288,'例_顧客一覧'!$A$5:$A$104,0))&amp;"","※顧客一覧にないID"))</f>
        <v/>
      </c>
      <c r="D288" s="7" t="n"/>
      <c r="E288" s="7" t="n"/>
      <c r="F288" s="14" t="n"/>
      <c r="G288" s="14" t="n"/>
      <c r="H288" s="13" t="n"/>
      <c r="I288" s="31" t="n"/>
      <c r="J288" s="12">
        <f>IF(ISNUMBER($A288),$A288+ROW()/100000,"")</f>
        <v/>
      </c>
      <c r="K288" s="12">
        <f>IF(AND(ISNUMBER($J288),$B288&lt;&gt;"",$B288='例_顧客カルテ'!$C$3),$J288,"")</f>
        <v/>
      </c>
    </row>
    <row r="289" ht="30" customHeight="1">
      <c r="A289" s="13" t="n"/>
      <c r="B289" s="7" t="n"/>
      <c r="C289" s="11">
        <f>IF($B289="","",IFERROR(INDEX('例_顧客一覧'!$C$5:$C$104,MATCH($B289,'例_顧客一覧'!$A$5:$A$104,0))&amp;"","※顧客一覧にないID"))</f>
        <v/>
      </c>
      <c r="D289" s="7" t="n"/>
      <c r="E289" s="7" t="n"/>
      <c r="F289" s="14" t="n"/>
      <c r="G289" s="14" t="n"/>
      <c r="H289" s="13" t="n"/>
      <c r="I289" s="31" t="n"/>
      <c r="J289" s="12">
        <f>IF(ISNUMBER($A289),$A289+ROW()/100000,"")</f>
        <v/>
      </c>
      <c r="K289" s="12">
        <f>IF(AND(ISNUMBER($J289),$B289&lt;&gt;"",$B289='例_顧客カルテ'!$C$3),$J289,"")</f>
        <v/>
      </c>
    </row>
    <row r="290" ht="30" customHeight="1">
      <c r="A290" s="13" t="n"/>
      <c r="B290" s="7" t="n"/>
      <c r="C290" s="11">
        <f>IF($B290="","",IFERROR(INDEX('例_顧客一覧'!$C$5:$C$104,MATCH($B290,'例_顧客一覧'!$A$5:$A$104,0))&amp;"","※顧客一覧にないID"))</f>
        <v/>
      </c>
      <c r="D290" s="7" t="n"/>
      <c r="E290" s="7" t="n"/>
      <c r="F290" s="14" t="n"/>
      <c r="G290" s="14" t="n"/>
      <c r="H290" s="13" t="n"/>
      <c r="I290" s="31" t="n"/>
      <c r="J290" s="12">
        <f>IF(ISNUMBER($A290),$A290+ROW()/100000,"")</f>
        <v/>
      </c>
      <c r="K290" s="12">
        <f>IF(AND(ISNUMBER($J290),$B290&lt;&gt;"",$B290='例_顧客カルテ'!$C$3),$J290,"")</f>
        <v/>
      </c>
    </row>
    <row r="291" ht="30" customHeight="1">
      <c r="A291" s="13" t="n"/>
      <c r="B291" s="7" t="n"/>
      <c r="C291" s="11">
        <f>IF($B291="","",IFERROR(INDEX('例_顧客一覧'!$C$5:$C$104,MATCH($B291,'例_顧客一覧'!$A$5:$A$104,0))&amp;"","※顧客一覧にないID"))</f>
        <v/>
      </c>
      <c r="D291" s="7" t="n"/>
      <c r="E291" s="7" t="n"/>
      <c r="F291" s="14" t="n"/>
      <c r="G291" s="14" t="n"/>
      <c r="H291" s="13" t="n"/>
      <c r="I291" s="31" t="n"/>
      <c r="J291" s="12">
        <f>IF(ISNUMBER($A291),$A291+ROW()/100000,"")</f>
        <v/>
      </c>
      <c r="K291" s="12">
        <f>IF(AND(ISNUMBER($J291),$B291&lt;&gt;"",$B291='例_顧客カルテ'!$C$3),$J291,"")</f>
        <v/>
      </c>
    </row>
    <row r="292" ht="30" customHeight="1">
      <c r="A292" s="13" t="n"/>
      <c r="B292" s="7" t="n"/>
      <c r="C292" s="11">
        <f>IF($B292="","",IFERROR(INDEX('例_顧客一覧'!$C$5:$C$104,MATCH($B292,'例_顧客一覧'!$A$5:$A$104,0))&amp;"","※顧客一覧にないID"))</f>
        <v/>
      </c>
      <c r="D292" s="7" t="n"/>
      <c r="E292" s="7" t="n"/>
      <c r="F292" s="14" t="n"/>
      <c r="G292" s="14" t="n"/>
      <c r="H292" s="13" t="n"/>
      <c r="I292" s="31" t="n"/>
      <c r="J292" s="12">
        <f>IF(ISNUMBER($A292),$A292+ROW()/100000,"")</f>
        <v/>
      </c>
      <c r="K292" s="12">
        <f>IF(AND(ISNUMBER($J292),$B292&lt;&gt;"",$B292='例_顧客カルテ'!$C$3),$J292,"")</f>
        <v/>
      </c>
    </row>
    <row r="293" ht="30" customHeight="1">
      <c r="A293" s="13" t="n"/>
      <c r="B293" s="7" t="n"/>
      <c r="C293" s="11">
        <f>IF($B293="","",IFERROR(INDEX('例_顧客一覧'!$C$5:$C$104,MATCH($B293,'例_顧客一覧'!$A$5:$A$104,0))&amp;"","※顧客一覧にないID"))</f>
        <v/>
      </c>
      <c r="D293" s="7" t="n"/>
      <c r="E293" s="7" t="n"/>
      <c r="F293" s="14" t="n"/>
      <c r="G293" s="14" t="n"/>
      <c r="H293" s="13" t="n"/>
      <c r="I293" s="31" t="n"/>
      <c r="J293" s="12">
        <f>IF(ISNUMBER($A293),$A293+ROW()/100000,"")</f>
        <v/>
      </c>
      <c r="K293" s="12">
        <f>IF(AND(ISNUMBER($J293),$B293&lt;&gt;"",$B293='例_顧客カルテ'!$C$3),$J293,"")</f>
        <v/>
      </c>
    </row>
    <row r="294" ht="30" customHeight="1">
      <c r="A294" s="13" t="n"/>
      <c r="B294" s="7" t="n"/>
      <c r="C294" s="11">
        <f>IF($B294="","",IFERROR(INDEX('例_顧客一覧'!$C$5:$C$104,MATCH($B294,'例_顧客一覧'!$A$5:$A$104,0))&amp;"","※顧客一覧にないID"))</f>
        <v/>
      </c>
      <c r="D294" s="7" t="n"/>
      <c r="E294" s="7" t="n"/>
      <c r="F294" s="14" t="n"/>
      <c r="G294" s="14" t="n"/>
      <c r="H294" s="13" t="n"/>
      <c r="I294" s="31" t="n"/>
      <c r="J294" s="12">
        <f>IF(ISNUMBER($A294),$A294+ROW()/100000,"")</f>
        <v/>
      </c>
      <c r="K294" s="12">
        <f>IF(AND(ISNUMBER($J294),$B294&lt;&gt;"",$B294='例_顧客カルテ'!$C$3),$J294,"")</f>
        <v/>
      </c>
    </row>
    <row r="295" ht="30" customHeight="1">
      <c r="A295" s="13" t="n"/>
      <c r="B295" s="7" t="n"/>
      <c r="C295" s="11">
        <f>IF($B295="","",IFERROR(INDEX('例_顧客一覧'!$C$5:$C$104,MATCH($B295,'例_顧客一覧'!$A$5:$A$104,0))&amp;"","※顧客一覧にないID"))</f>
        <v/>
      </c>
      <c r="D295" s="7" t="n"/>
      <c r="E295" s="7" t="n"/>
      <c r="F295" s="14" t="n"/>
      <c r="G295" s="14" t="n"/>
      <c r="H295" s="13" t="n"/>
      <c r="I295" s="31" t="n"/>
      <c r="J295" s="12">
        <f>IF(ISNUMBER($A295),$A295+ROW()/100000,"")</f>
        <v/>
      </c>
      <c r="K295" s="12">
        <f>IF(AND(ISNUMBER($J295),$B295&lt;&gt;"",$B295='例_顧客カルテ'!$C$3),$J295,"")</f>
        <v/>
      </c>
    </row>
    <row r="296" ht="30" customHeight="1">
      <c r="A296" s="13" t="n"/>
      <c r="B296" s="7" t="n"/>
      <c r="C296" s="11">
        <f>IF($B296="","",IFERROR(INDEX('例_顧客一覧'!$C$5:$C$104,MATCH($B296,'例_顧客一覧'!$A$5:$A$104,0))&amp;"","※顧客一覧にないID"))</f>
        <v/>
      </c>
      <c r="D296" s="7" t="n"/>
      <c r="E296" s="7" t="n"/>
      <c r="F296" s="14" t="n"/>
      <c r="G296" s="14" t="n"/>
      <c r="H296" s="13" t="n"/>
      <c r="I296" s="31" t="n"/>
      <c r="J296" s="12">
        <f>IF(ISNUMBER($A296),$A296+ROW()/100000,"")</f>
        <v/>
      </c>
      <c r="K296" s="12">
        <f>IF(AND(ISNUMBER($J296),$B296&lt;&gt;"",$B296='例_顧客カルテ'!$C$3),$J296,"")</f>
        <v/>
      </c>
    </row>
    <row r="297" ht="30" customHeight="1">
      <c r="A297" s="13" t="n"/>
      <c r="B297" s="7" t="n"/>
      <c r="C297" s="11">
        <f>IF($B297="","",IFERROR(INDEX('例_顧客一覧'!$C$5:$C$104,MATCH($B297,'例_顧客一覧'!$A$5:$A$104,0))&amp;"","※顧客一覧にないID"))</f>
        <v/>
      </c>
      <c r="D297" s="7" t="n"/>
      <c r="E297" s="7" t="n"/>
      <c r="F297" s="14" t="n"/>
      <c r="G297" s="14" t="n"/>
      <c r="H297" s="13" t="n"/>
      <c r="I297" s="31" t="n"/>
      <c r="J297" s="12">
        <f>IF(ISNUMBER($A297),$A297+ROW()/100000,"")</f>
        <v/>
      </c>
      <c r="K297" s="12">
        <f>IF(AND(ISNUMBER($J297),$B297&lt;&gt;"",$B297='例_顧客カルテ'!$C$3),$J297,"")</f>
        <v/>
      </c>
    </row>
    <row r="298" ht="30" customHeight="1">
      <c r="A298" s="13" t="n"/>
      <c r="B298" s="7" t="n"/>
      <c r="C298" s="11">
        <f>IF($B298="","",IFERROR(INDEX('例_顧客一覧'!$C$5:$C$104,MATCH($B298,'例_顧客一覧'!$A$5:$A$104,0))&amp;"","※顧客一覧にないID"))</f>
        <v/>
      </c>
      <c r="D298" s="7" t="n"/>
      <c r="E298" s="7" t="n"/>
      <c r="F298" s="14" t="n"/>
      <c r="G298" s="14" t="n"/>
      <c r="H298" s="13" t="n"/>
      <c r="I298" s="31" t="n"/>
      <c r="J298" s="12">
        <f>IF(ISNUMBER($A298),$A298+ROW()/100000,"")</f>
        <v/>
      </c>
      <c r="K298" s="12">
        <f>IF(AND(ISNUMBER($J298),$B298&lt;&gt;"",$B298='例_顧客カルテ'!$C$3),$J298,"")</f>
        <v/>
      </c>
    </row>
    <row r="299" ht="30" customHeight="1">
      <c r="A299" s="13" t="n"/>
      <c r="B299" s="7" t="n"/>
      <c r="C299" s="11">
        <f>IF($B299="","",IFERROR(INDEX('例_顧客一覧'!$C$5:$C$104,MATCH($B299,'例_顧客一覧'!$A$5:$A$104,0))&amp;"","※顧客一覧にないID"))</f>
        <v/>
      </c>
      <c r="D299" s="7" t="n"/>
      <c r="E299" s="7" t="n"/>
      <c r="F299" s="14" t="n"/>
      <c r="G299" s="14" t="n"/>
      <c r="H299" s="13" t="n"/>
      <c r="I299" s="31" t="n"/>
      <c r="J299" s="12">
        <f>IF(ISNUMBER($A299),$A299+ROW()/100000,"")</f>
        <v/>
      </c>
      <c r="K299" s="12">
        <f>IF(AND(ISNUMBER($J299),$B299&lt;&gt;"",$B299='例_顧客カルテ'!$C$3),$J299,"")</f>
        <v/>
      </c>
    </row>
    <row r="300" ht="30" customHeight="1">
      <c r="A300" s="13" t="n"/>
      <c r="B300" s="7" t="n"/>
      <c r="C300" s="11">
        <f>IF($B300="","",IFERROR(INDEX('例_顧客一覧'!$C$5:$C$104,MATCH($B300,'例_顧客一覧'!$A$5:$A$104,0))&amp;"","※顧客一覧にないID"))</f>
        <v/>
      </c>
      <c r="D300" s="7" t="n"/>
      <c r="E300" s="7" t="n"/>
      <c r="F300" s="14" t="n"/>
      <c r="G300" s="14" t="n"/>
      <c r="H300" s="13" t="n"/>
      <c r="I300" s="31" t="n"/>
      <c r="J300" s="12">
        <f>IF(ISNUMBER($A300),$A300+ROW()/100000,"")</f>
        <v/>
      </c>
      <c r="K300" s="12">
        <f>IF(AND(ISNUMBER($J300),$B300&lt;&gt;"",$B300='例_顧客カルテ'!$C$3),$J300,"")</f>
        <v/>
      </c>
    </row>
    <row r="301" ht="30" customHeight="1">
      <c r="A301" s="13" t="n"/>
      <c r="B301" s="7" t="n"/>
      <c r="C301" s="11">
        <f>IF($B301="","",IFERROR(INDEX('例_顧客一覧'!$C$5:$C$104,MATCH($B301,'例_顧客一覧'!$A$5:$A$104,0))&amp;"","※顧客一覧にないID"))</f>
        <v/>
      </c>
      <c r="D301" s="7" t="n"/>
      <c r="E301" s="7" t="n"/>
      <c r="F301" s="14" t="n"/>
      <c r="G301" s="14" t="n"/>
      <c r="H301" s="13" t="n"/>
      <c r="I301" s="31" t="n"/>
      <c r="J301" s="12">
        <f>IF(ISNUMBER($A301),$A301+ROW()/100000,"")</f>
        <v/>
      </c>
      <c r="K301" s="12">
        <f>IF(AND(ISNUMBER($J301),$B301&lt;&gt;"",$B301='例_顧客カルテ'!$C$3),$J301,"")</f>
        <v/>
      </c>
    </row>
    <row r="302" ht="30" customHeight="1">
      <c r="A302" s="13" t="n"/>
      <c r="B302" s="7" t="n"/>
      <c r="C302" s="11">
        <f>IF($B302="","",IFERROR(INDEX('例_顧客一覧'!$C$5:$C$104,MATCH($B302,'例_顧客一覧'!$A$5:$A$104,0))&amp;"","※顧客一覧にないID"))</f>
        <v/>
      </c>
      <c r="D302" s="7" t="n"/>
      <c r="E302" s="7" t="n"/>
      <c r="F302" s="14" t="n"/>
      <c r="G302" s="14" t="n"/>
      <c r="H302" s="13" t="n"/>
      <c r="I302" s="31" t="n"/>
      <c r="J302" s="12">
        <f>IF(ISNUMBER($A302),$A302+ROW()/100000,"")</f>
        <v/>
      </c>
      <c r="K302" s="12">
        <f>IF(AND(ISNUMBER($J302),$B302&lt;&gt;"",$B302='例_顧客カルテ'!$C$3),$J302,"")</f>
        <v/>
      </c>
    </row>
    <row r="303" ht="30" customHeight="1">
      <c r="A303" s="13" t="n"/>
      <c r="B303" s="7" t="n"/>
      <c r="C303" s="11">
        <f>IF($B303="","",IFERROR(INDEX('例_顧客一覧'!$C$5:$C$104,MATCH($B303,'例_顧客一覧'!$A$5:$A$104,0))&amp;"","※顧客一覧にないID"))</f>
        <v/>
      </c>
      <c r="D303" s="7" t="n"/>
      <c r="E303" s="7" t="n"/>
      <c r="F303" s="14" t="n"/>
      <c r="G303" s="14" t="n"/>
      <c r="H303" s="13" t="n"/>
      <c r="I303" s="31" t="n"/>
      <c r="J303" s="12">
        <f>IF(ISNUMBER($A303),$A303+ROW()/100000,"")</f>
        <v/>
      </c>
      <c r="K303" s="12">
        <f>IF(AND(ISNUMBER($J303),$B303&lt;&gt;"",$B303='例_顧客カルテ'!$C$3),$J303,"")</f>
        <v/>
      </c>
    </row>
    <row r="304" ht="30" customHeight="1">
      <c r="A304" s="13" t="n"/>
      <c r="B304" s="7" t="n"/>
      <c r="C304" s="11">
        <f>IF($B304="","",IFERROR(INDEX('例_顧客一覧'!$C$5:$C$104,MATCH($B304,'例_顧客一覧'!$A$5:$A$104,0))&amp;"","※顧客一覧にないID"))</f>
        <v/>
      </c>
      <c r="D304" s="7" t="n"/>
      <c r="E304" s="7" t="n"/>
      <c r="F304" s="14" t="n"/>
      <c r="G304" s="14" t="n"/>
      <c r="H304" s="13" t="n"/>
      <c r="I304" s="31" t="n"/>
      <c r="J304" s="12">
        <f>IF(ISNUMBER($A304),$A304+ROW()/100000,"")</f>
        <v/>
      </c>
      <c r="K304" s="12">
        <f>IF(AND(ISNUMBER($J304),$B304&lt;&gt;"",$B304='例_顧客カルテ'!$C$3),$J304,"")</f>
        <v/>
      </c>
    </row>
  </sheetData>
  <autoFilter ref="A4:K304"/>
  <mergeCells count="3">
    <mergeCell ref="J3:K3"/>
    <mergeCell ref="A2:H2"/>
    <mergeCell ref="A1:H1"/>
  </mergeCells>
  <dataValidations count="4">
    <dataValidation sqref="A5:A304" showDropDown="0" showInputMessage="0" showErrorMessage="1" allowBlank="1" errorTitle="日付で入力してください" error="2026/10/1 のように、日付として入力してください。" type="date" operator="greaterThanOrEqual">
      <formula1>36526</formula1>
    </dataValidation>
    <dataValidation sqref="H5:H304" showDropDown="0" showInputMessage="0" showErrorMessage="1" allowBlank="1" errorTitle="日付で入力してください" error="2026/10/1 のように、日付として入力してください。" type="date" operator="greaterThanOrEqual">
      <formula1>36526</formula1>
    </dataValidation>
    <dataValidation sqref="B5:B304" showDropDown="0" showInputMessage="0" showErrorMessage="1" allowBlank="1" errorTitle="選択してください" error="顧客一覧に登録した顧客IDから選んでください" type="list">
      <formula1>='例_顧客一覧'!$A$5:$A$104</formula1>
    </dataValidation>
    <dataValidation sqref="E5:E304" showDropDown="0" showInputMessage="0" showErrorMessage="1" allowBlank="1" errorTitle="選択してください" error="一覧から選んでください" type="list">
      <formula1>"訪問,来店,電話,メール,オンライン,その他"</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B9C4CF"/>
    <outlinePr summaryBelow="1" summaryRight="1"/>
    <pageSetUpPr fitToPage="1"/>
  </sheetPr>
  <dimension ref="A1:H34"/>
  <sheetViews>
    <sheetView showGridLines="0" workbookViewId="0">
      <selection activeCell="A1" sqref="A1"/>
    </sheetView>
  </sheetViews>
  <sheetFormatPr baseColWidth="8" defaultRowHeight="15"/>
  <cols>
    <col width="12" customWidth="1" min="1" max="1"/>
    <col width="9" customWidth="1" min="2" max="2"/>
    <col width="10" customWidth="1" min="3" max="3"/>
    <col width="40" customWidth="1" min="4" max="4"/>
    <col width="26" customWidth="1" min="5" max="5"/>
    <col width="12" customWidth="1" min="6" max="6"/>
    <col width="3" customWidth="1" min="7" max="7"/>
    <col width="8" customWidth="1" min="8" max="8"/>
  </cols>
  <sheetData>
    <row r="1" ht="26" customHeight="1">
      <c r="A1" s="30" t="inlineStr">
        <is>
          <t>顧客カルテ（記入例）</t>
        </is>
      </c>
      <c r="B1" s="31" t="n"/>
      <c r="C1" s="31" t="n"/>
      <c r="D1" s="31" t="n"/>
      <c r="E1" s="31" t="n"/>
      <c r="F1" s="31" t="n"/>
      <c r="G1" s="31" t="n"/>
      <c r="H1" s="31" t="n"/>
    </row>
    <row r="2" ht="18" customHeight="1">
      <c r="A2" s="32" t="inlineStr">
        <is>
          <t>C3 で顧客IDを選ぶと、基本情報と直近の対応履歴が出ます。そのまま印刷できます（A4縦・1枚）。</t>
        </is>
      </c>
      <c r="B2" s="31" t="n"/>
      <c r="C2" s="31" t="n"/>
      <c r="D2" s="31" t="n"/>
      <c r="E2" s="31" t="n"/>
      <c r="F2" s="31" t="n"/>
      <c r="G2" s="31" t="n"/>
      <c r="H2" s="33" t="inlineStr">
        <is>
          <t>作業列</t>
        </is>
      </c>
    </row>
    <row r="3" ht="24" customHeight="1">
      <c r="A3" s="34" t="inlineStr">
        <is>
          <t>顧客ID</t>
        </is>
      </c>
      <c r="B3" s="35" t="n"/>
      <c r="C3" s="36" t="inlineStr">
        <is>
          <t>C001</t>
        </is>
      </c>
      <c r="D3" s="32" t="inlineStr">
        <is>
          <t>← プルダウンで選びます（顧客一覧に登録したID）</t>
        </is>
      </c>
      <c r="E3" s="31" t="n"/>
      <c r="F3" s="31" t="n"/>
      <c r="G3" s="31" t="n"/>
      <c r="H3" s="33">
        <f>IF($C$3="","",IFERROR(MATCH($C$3,'例_顧客一覧'!$A$5:$A$104,0),""))</f>
        <v/>
      </c>
    </row>
    <row r="4">
      <c r="A4" s="31" t="n"/>
      <c r="B4" s="31" t="n"/>
      <c r="C4" s="31" t="n"/>
      <c r="D4" s="31" t="n"/>
      <c r="E4" s="31" t="n"/>
      <c r="F4" s="31" t="n"/>
      <c r="G4" s="31" t="n"/>
      <c r="H4" s="31" t="n"/>
    </row>
    <row r="5">
      <c r="A5" s="30" t="inlineStr">
        <is>
          <t>基本情報</t>
        </is>
      </c>
      <c r="B5" s="31" t="n"/>
      <c r="C5" s="31" t="n"/>
      <c r="D5" s="31" t="n"/>
      <c r="E5" s="31" t="n"/>
      <c r="F5" s="31" t="n"/>
      <c r="G5" s="31" t="n"/>
      <c r="H5" s="31" t="n"/>
    </row>
    <row r="6" ht="21" customHeight="1">
      <c r="A6" s="34" t="inlineStr">
        <is>
          <t>会社名・氏名</t>
        </is>
      </c>
      <c r="B6" s="35" t="n"/>
      <c r="C6" s="19">
        <f>IF($H$3="","",INDEX('例_顧客一覧'!$C$5:$C$104,$H$3)&amp;"")</f>
        <v/>
      </c>
      <c r="D6" s="37" t="n"/>
      <c r="E6" s="37" t="n"/>
      <c r="F6" s="35" t="n"/>
      <c r="G6" s="31" t="n"/>
      <c r="H6" s="31" t="n"/>
    </row>
    <row r="7" ht="21" customHeight="1">
      <c r="A7" s="34" t="inlineStr">
        <is>
          <t>区分</t>
        </is>
      </c>
      <c r="B7" s="35" t="n"/>
      <c r="C7" s="19">
        <f>IF($H$3="","",INDEX('例_顧客一覧'!$B$5:$B$104,$H$3)&amp;"")</f>
        <v/>
      </c>
      <c r="D7" s="37" t="n"/>
      <c r="E7" s="37" t="n"/>
      <c r="F7" s="35" t="n"/>
      <c r="G7" s="31" t="n"/>
      <c r="H7" s="31" t="n"/>
    </row>
    <row r="8" ht="21" customHeight="1">
      <c r="A8" s="34" t="inlineStr">
        <is>
          <t>先方の担当者</t>
        </is>
      </c>
      <c r="B8" s="35" t="n"/>
      <c r="C8" s="19">
        <f>IF($H$3="","",INDEX('例_顧客一覧'!$D$5:$D$104,$H$3)&amp;"")</f>
        <v/>
      </c>
      <c r="D8" s="37" t="n"/>
      <c r="E8" s="37" t="n"/>
      <c r="F8" s="35" t="n"/>
      <c r="G8" s="31" t="n"/>
      <c r="H8" s="31" t="n"/>
    </row>
    <row r="9" ht="21" customHeight="1">
      <c r="A9" s="34" t="inlineStr">
        <is>
          <t>電話</t>
        </is>
      </c>
      <c r="B9" s="35" t="n"/>
      <c r="C9" s="19">
        <f>IF($H$3="","",INDEX('例_顧客一覧'!$E$5:$E$104,$H$3)&amp;"")</f>
        <v/>
      </c>
      <c r="D9" s="37" t="n"/>
      <c r="E9" s="37" t="n"/>
      <c r="F9" s="35" t="n"/>
      <c r="G9" s="31" t="n"/>
      <c r="H9" s="31" t="n"/>
    </row>
    <row r="10" ht="21" customHeight="1">
      <c r="A10" s="34" t="inlineStr">
        <is>
          <t>メール</t>
        </is>
      </c>
      <c r="B10" s="35" t="n"/>
      <c r="C10" s="19">
        <f>IF($H$3="","",INDEX('例_顧客一覧'!$F$5:$F$104,$H$3)&amp;"")</f>
        <v/>
      </c>
      <c r="D10" s="37" t="n"/>
      <c r="E10" s="37" t="n"/>
      <c r="F10" s="35" t="n"/>
      <c r="G10" s="31" t="n"/>
      <c r="H10" s="31" t="n"/>
    </row>
    <row r="11" ht="21" customHeight="1">
      <c r="A11" s="34" t="inlineStr">
        <is>
          <t>自社担当</t>
        </is>
      </c>
      <c r="B11" s="35" t="n"/>
      <c r="C11" s="19">
        <f>IF($H$3="","",INDEX('例_顧客一覧'!$G$5:$G$104,$H$3)&amp;"")</f>
        <v/>
      </c>
      <c r="D11" s="37" t="n"/>
      <c r="E11" s="37" t="n"/>
      <c r="F11" s="35" t="n"/>
      <c r="G11" s="31" t="n"/>
      <c r="H11" s="31" t="n"/>
    </row>
    <row r="12" ht="21" customHeight="1">
      <c r="A12" s="34" t="inlineStr">
        <is>
          <t>見込み度</t>
        </is>
      </c>
      <c r="B12" s="35" t="n"/>
      <c r="C12" s="19">
        <f>IF($H$3="","",INDEX('例_顧客一覧'!$H$5:$H$104,$H$3)&amp;"")</f>
        <v/>
      </c>
      <c r="D12" s="37" t="n"/>
      <c r="E12" s="37" t="n"/>
      <c r="F12" s="35" t="n"/>
      <c r="G12" s="31" t="n"/>
      <c r="H12" s="31" t="n"/>
    </row>
    <row r="13" ht="21" customHeight="1">
      <c r="A13" s="34" t="inlineStr">
        <is>
          <t>備考</t>
        </is>
      </c>
      <c r="B13" s="35" t="n"/>
      <c r="C13" s="19">
        <f>IF($H$3="","",INDEX('例_顧客一覧'!$I$5:$I$104,$H$3)&amp;"")</f>
        <v/>
      </c>
      <c r="D13" s="37" t="n"/>
      <c r="E13" s="37" t="n"/>
      <c r="F13" s="35" t="n"/>
      <c r="G13" s="31" t="n"/>
      <c r="H13" s="31" t="n"/>
    </row>
    <row r="14">
      <c r="A14" s="31" t="n"/>
      <c r="B14" s="31" t="n"/>
      <c r="C14" s="31" t="n"/>
      <c r="D14" s="31" t="n"/>
      <c r="E14" s="31" t="n"/>
      <c r="F14" s="31" t="n"/>
      <c r="G14" s="31" t="n"/>
      <c r="H14" s="31" t="n"/>
    </row>
    <row r="15">
      <c r="A15" s="30" t="inlineStr">
        <is>
          <t>対応の状況（対応履歴から自動）</t>
        </is>
      </c>
      <c r="B15" s="31" t="n"/>
      <c r="C15" s="31" t="n"/>
      <c r="D15" s="31" t="n"/>
      <c r="E15" s="31" t="n"/>
      <c r="F15" s="31" t="n"/>
      <c r="G15" s="31" t="n"/>
      <c r="H15" s="31" t="n"/>
    </row>
    <row r="16" ht="21" customHeight="1">
      <c r="A16" s="34" t="inlineStr">
        <is>
          <t>最終対応日</t>
        </is>
      </c>
      <c r="B16" s="35" t="n"/>
      <c r="C16" s="20">
        <f>IF($H$3="","",INDEX('例_顧客一覧'!$J$5:$J$104,$H$3))</f>
        <v/>
      </c>
      <c r="D16" s="37" t="n"/>
      <c r="E16" s="37" t="n"/>
      <c r="F16" s="35" t="n"/>
      <c r="G16" s="31" t="n"/>
      <c r="H16" s="31" t="n"/>
    </row>
    <row r="17" ht="21" customHeight="1">
      <c r="A17" s="34" t="inlineStr">
        <is>
          <t>対応回数</t>
        </is>
      </c>
      <c r="B17" s="35" t="n"/>
      <c r="C17" s="21">
        <f>IF($H$3="","",INDEX('例_顧客一覧'!$K$5:$K$104,$H$3))</f>
        <v/>
      </c>
      <c r="D17" s="37" t="n"/>
      <c r="E17" s="37" t="n"/>
      <c r="F17" s="35" t="n"/>
      <c r="G17" s="31" t="n"/>
      <c r="H17" s="31" t="n"/>
    </row>
    <row r="18" ht="21" customHeight="1">
      <c r="A18" s="34" t="inlineStr">
        <is>
          <t>次回アクション</t>
        </is>
      </c>
      <c r="B18" s="35" t="n"/>
      <c r="C18" s="19">
        <f>IF($H$3="","",INDEX('例_顧客一覧'!$L$5:$L$104,$H$3))</f>
        <v/>
      </c>
      <c r="D18" s="37" t="n"/>
      <c r="E18" s="37" t="n"/>
      <c r="F18" s="35" t="n"/>
      <c r="G18" s="31" t="n"/>
      <c r="H18" s="31" t="n"/>
    </row>
    <row r="19" ht="21" customHeight="1">
      <c r="A19" s="34" t="inlineStr">
        <is>
          <t>次回アクションの期日</t>
        </is>
      </c>
      <c r="B19" s="35" t="n"/>
      <c r="C19" s="20">
        <f>IF($H$3="","",INDEX('例_顧客一覧'!$M$5:$M$104,$H$3))</f>
        <v/>
      </c>
      <c r="D19" s="37" t="n"/>
      <c r="E19" s="37" t="n"/>
      <c r="F19" s="35" t="n"/>
      <c r="G19" s="31" t="n"/>
      <c r="H19" s="31" t="n"/>
    </row>
    <row r="20" ht="21" customHeight="1">
      <c r="A20" s="34" t="inlineStr">
        <is>
          <t>状況</t>
        </is>
      </c>
      <c r="B20" s="35" t="n"/>
      <c r="C20" s="19">
        <f>IF($H$3="","",INDEX('例_顧客一覧'!$N$5:$N$104,$H$3))</f>
        <v/>
      </c>
      <c r="D20" s="37" t="n"/>
      <c r="E20" s="37" t="n"/>
      <c r="F20" s="35" t="n"/>
      <c r="G20" s="31" t="n"/>
      <c r="H20" s="31" t="n"/>
    </row>
    <row r="21">
      <c r="A21" s="31" t="n"/>
      <c r="B21" s="31" t="n"/>
      <c r="C21" s="31" t="n"/>
      <c r="D21" s="31" t="n"/>
      <c r="E21" s="31" t="n"/>
      <c r="F21" s="31" t="n"/>
      <c r="G21" s="31" t="n"/>
      <c r="H21" s="31" t="n"/>
    </row>
    <row r="22">
      <c r="A22" s="30" t="inlineStr">
        <is>
          <t>直近の対応履歴（新しい順・10件まで）</t>
        </is>
      </c>
      <c r="B22" s="31" t="n"/>
      <c r="C22" s="31" t="n"/>
      <c r="D22" s="31" t="n"/>
      <c r="E22" s="31" t="n"/>
      <c r="F22" s="31" t="n"/>
      <c r="G22" s="31" t="n"/>
      <c r="H22" s="33" t="inlineStr">
        <is>
          <t>作業列</t>
        </is>
      </c>
    </row>
    <row r="23" ht="20" customHeight="1">
      <c r="A23" s="4" t="inlineStr">
        <is>
          <t>日付</t>
        </is>
      </c>
      <c r="B23" s="4" t="inlineStr">
        <is>
          <t>手段</t>
        </is>
      </c>
      <c r="C23" s="4" t="inlineStr">
        <is>
          <t>担当</t>
        </is>
      </c>
      <c r="D23" s="4" t="inlineStr">
        <is>
          <t>内容</t>
        </is>
      </c>
      <c r="E23" s="4" t="inlineStr">
        <is>
          <t>次回アクション</t>
        </is>
      </c>
      <c r="F23" s="4" t="inlineStr">
        <is>
          <t>期日</t>
        </is>
      </c>
      <c r="G23" s="31" t="n"/>
      <c r="H23" s="31" t="n"/>
    </row>
    <row r="24" ht="34" customHeight="1">
      <c r="A24" s="22">
        <f>IF($H24="","",IF(INDEX('例_対応履歴'!$A$5:$A$304,$H24)="","",INDEX('例_対応履歴'!$A$5:$A$304,$H24)))</f>
        <v/>
      </c>
      <c r="B24" s="23">
        <f>IF($H24="","",INDEX('例_対応履歴'!$E$5:$E$304,$H24)&amp;"")</f>
        <v/>
      </c>
      <c r="C24" s="23">
        <f>IF($H24="","",INDEX('例_対応履歴'!$D$5:$D$304,$H24)&amp;"")</f>
        <v/>
      </c>
      <c r="D24" s="24">
        <f>IF($H24="","",INDEX('例_対応履歴'!$F$5:$F$304,$H24)&amp;"")</f>
        <v/>
      </c>
      <c r="E24" s="24">
        <f>IF($H24="","",INDEX('例_対応履歴'!$G$5:$G$304,$H24)&amp;"")</f>
        <v/>
      </c>
      <c r="F24" s="22">
        <f>IF($H24="","",IF(INDEX('例_対応履歴'!$H$5:$H$304,$H24)="","",INDEX('例_対応履歴'!$H$5:$H$304,$H24)))</f>
        <v/>
      </c>
      <c r="G24" s="31" t="n"/>
      <c r="H24" s="33">
        <f>IFERROR(MATCH(LARGE('例_対応履歴'!$K$5:$K$304,1),'例_対応履歴'!$K$5:$K$304,0),"")</f>
        <v/>
      </c>
    </row>
    <row r="25" ht="34" customHeight="1">
      <c r="A25" s="22">
        <f>IF($H25="","",IF(INDEX('例_対応履歴'!$A$5:$A$304,$H25)="","",INDEX('例_対応履歴'!$A$5:$A$304,$H25)))</f>
        <v/>
      </c>
      <c r="B25" s="23">
        <f>IF($H25="","",INDEX('例_対応履歴'!$E$5:$E$304,$H25)&amp;"")</f>
        <v/>
      </c>
      <c r="C25" s="23">
        <f>IF($H25="","",INDEX('例_対応履歴'!$D$5:$D$304,$H25)&amp;"")</f>
        <v/>
      </c>
      <c r="D25" s="24">
        <f>IF($H25="","",INDEX('例_対応履歴'!$F$5:$F$304,$H25)&amp;"")</f>
        <v/>
      </c>
      <c r="E25" s="24">
        <f>IF($H25="","",INDEX('例_対応履歴'!$G$5:$G$304,$H25)&amp;"")</f>
        <v/>
      </c>
      <c r="F25" s="22">
        <f>IF($H25="","",IF(INDEX('例_対応履歴'!$H$5:$H$304,$H25)="","",INDEX('例_対応履歴'!$H$5:$H$304,$H25)))</f>
        <v/>
      </c>
      <c r="G25" s="31" t="n"/>
      <c r="H25" s="33">
        <f>IFERROR(MATCH(LARGE('例_対応履歴'!$K$5:$K$304,2),'例_対応履歴'!$K$5:$K$304,0),"")</f>
        <v/>
      </c>
    </row>
    <row r="26" ht="34" customHeight="1">
      <c r="A26" s="22">
        <f>IF($H26="","",IF(INDEX('例_対応履歴'!$A$5:$A$304,$H26)="","",INDEX('例_対応履歴'!$A$5:$A$304,$H26)))</f>
        <v/>
      </c>
      <c r="B26" s="23">
        <f>IF($H26="","",INDEX('例_対応履歴'!$E$5:$E$304,$H26)&amp;"")</f>
        <v/>
      </c>
      <c r="C26" s="23">
        <f>IF($H26="","",INDEX('例_対応履歴'!$D$5:$D$304,$H26)&amp;"")</f>
        <v/>
      </c>
      <c r="D26" s="24">
        <f>IF($H26="","",INDEX('例_対応履歴'!$F$5:$F$304,$H26)&amp;"")</f>
        <v/>
      </c>
      <c r="E26" s="24">
        <f>IF($H26="","",INDEX('例_対応履歴'!$G$5:$G$304,$H26)&amp;"")</f>
        <v/>
      </c>
      <c r="F26" s="22">
        <f>IF($H26="","",IF(INDEX('例_対応履歴'!$H$5:$H$304,$H26)="","",INDEX('例_対応履歴'!$H$5:$H$304,$H26)))</f>
        <v/>
      </c>
      <c r="G26" s="31" t="n"/>
      <c r="H26" s="33">
        <f>IFERROR(MATCH(LARGE('例_対応履歴'!$K$5:$K$304,3),'例_対応履歴'!$K$5:$K$304,0),"")</f>
        <v/>
      </c>
    </row>
    <row r="27" ht="34" customHeight="1">
      <c r="A27" s="22">
        <f>IF($H27="","",IF(INDEX('例_対応履歴'!$A$5:$A$304,$H27)="","",INDEX('例_対応履歴'!$A$5:$A$304,$H27)))</f>
        <v/>
      </c>
      <c r="B27" s="23">
        <f>IF($H27="","",INDEX('例_対応履歴'!$E$5:$E$304,$H27)&amp;"")</f>
        <v/>
      </c>
      <c r="C27" s="23">
        <f>IF($H27="","",INDEX('例_対応履歴'!$D$5:$D$304,$H27)&amp;"")</f>
        <v/>
      </c>
      <c r="D27" s="24">
        <f>IF($H27="","",INDEX('例_対応履歴'!$F$5:$F$304,$H27)&amp;"")</f>
        <v/>
      </c>
      <c r="E27" s="24">
        <f>IF($H27="","",INDEX('例_対応履歴'!$G$5:$G$304,$H27)&amp;"")</f>
        <v/>
      </c>
      <c r="F27" s="22">
        <f>IF($H27="","",IF(INDEX('例_対応履歴'!$H$5:$H$304,$H27)="","",INDEX('例_対応履歴'!$H$5:$H$304,$H27)))</f>
        <v/>
      </c>
      <c r="G27" s="31" t="n"/>
      <c r="H27" s="33">
        <f>IFERROR(MATCH(LARGE('例_対応履歴'!$K$5:$K$304,4),'例_対応履歴'!$K$5:$K$304,0),"")</f>
        <v/>
      </c>
    </row>
    <row r="28" ht="34" customHeight="1">
      <c r="A28" s="22">
        <f>IF($H28="","",IF(INDEX('例_対応履歴'!$A$5:$A$304,$H28)="","",INDEX('例_対応履歴'!$A$5:$A$304,$H28)))</f>
        <v/>
      </c>
      <c r="B28" s="23">
        <f>IF($H28="","",INDEX('例_対応履歴'!$E$5:$E$304,$H28)&amp;"")</f>
        <v/>
      </c>
      <c r="C28" s="23">
        <f>IF($H28="","",INDEX('例_対応履歴'!$D$5:$D$304,$H28)&amp;"")</f>
        <v/>
      </c>
      <c r="D28" s="24">
        <f>IF($H28="","",INDEX('例_対応履歴'!$F$5:$F$304,$H28)&amp;"")</f>
        <v/>
      </c>
      <c r="E28" s="24">
        <f>IF($H28="","",INDEX('例_対応履歴'!$G$5:$G$304,$H28)&amp;"")</f>
        <v/>
      </c>
      <c r="F28" s="22">
        <f>IF($H28="","",IF(INDEX('例_対応履歴'!$H$5:$H$304,$H28)="","",INDEX('例_対応履歴'!$H$5:$H$304,$H28)))</f>
        <v/>
      </c>
      <c r="G28" s="31" t="n"/>
      <c r="H28" s="33">
        <f>IFERROR(MATCH(LARGE('例_対応履歴'!$K$5:$K$304,5),'例_対応履歴'!$K$5:$K$304,0),"")</f>
        <v/>
      </c>
    </row>
    <row r="29" ht="34" customHeight="1">
      <c r="A29" s="22">
        <f>IF($H29="","",IF(INDEX('例_対応履歴'!$A$5:$A$304,$H29)="","",INDEX('例_対応履歴'!$A$5:$A$304,$H29)))</f>
        <v/>
      </c>
      <c r="B29" s="23">
        <f>IF($H29="","",INDEX('例_対応履歴'!$E$5:$E$304,$H29)&amp;"")</f>
        <v/>
      </c>
      <c r="C29" s="23">
        <f>IF($H29="","",INDEX('例_対応履歴'!$D$5:$D$304,$H29)&amp;"")</f>
        <v/>
      </c>
      <c r="D29" s="24">
        <f>IF($H29="","",INDEX('例_対応履歴'!$F$5:$F$304,$H29)&amp;"")</f>
        <v/>
      </c>
      <c r="E29" s="24">
        <f>IF($H29="","",INDEX('例_対応履歴'!$G$5:$G$304,$H29)&amp;"")</f>
        <v/>
      </c>
      <c r="F29" s="22">
        <f>IF($H29="","",IF(INDEX('例_対応履歴'!$H$5:$H$304,$H29)="","",INDEX('例_対応履歴'!$H$5:$H$304,$H29)))</f>
        <v/>
      </c>
      <c r="G29" s="31" t="n"/>
      <c r="H29" s="33">
        <f>IFERROR(MATCH(LARGE('例_対応履歴'!$K$5:$K$304,6),'例_対応履歴'!$K$5:$K$304,0),"")</f>
        <v/>
      </c>
    </row>
    <row r="30" ht="34" customHeight="1">
      <c r="A30" s="22">
        <f>IF($H30="","",IF(INDEX('例_対応履歴'!$A$5:$A$304,$H30)="","",INDEX('例_対応履歴'!$A$5:$A$304,$H30)))</f>
        <v/>
      </c>
      <c r="B30" s="23">
        <f>IF($H30="","",INDEX('例_対応履歴'!$E$5:$E$304,$H30)&amp;"")</f>
        <v/>
      </c>
      <c r="C30" s="23">
        <f>IF($H30="","",INDEX('例_対応履歴'!$D$5:$D$304,$H30)&amp;"")</f>
        <v/>
      </c>
      <c r="D30" s="24">
        <f>IF($H30="","",INDEX('例_対応履歴'!$F$5:$F$304,$H30)&amp;"")</f>
        <v/>
      </c>
      <c r="E30" s="24">
        <f>IF($H30="","",INDEX('例_対応履歴'!$G$5:$G$304,$H30)&amp;"")</f>
        <v/>
      </c>
      <c r="F30" s="22">
        <f>IF($H30="","",IF(INDEX('例_対応履歴'!$H$5:$H$304,$H30)="","",INDEX('例_対応履歴'!$H$5:$H$304,$H30)))</f>
        <v/>
      </c>
      <c r="G30" s="31" t="n"/>
      <c r="H30" s="33">
        <f>IFERROR(MATCH(LARGE('例_対応履歴'!$K$5:$K$304,7),'例_対応履歴'!$K$5:$K$304,0),"")</f>
        <v/>
      </c>
    </row>
    <row r="31" ht="34" customHeight="1">
      <c r="A31" s="22">
        <f>IF($H31="","",IF(INDEX('例_対応履歴'!$A$5:$A$304,$H31)="","",INDEX('例_対応履歴'!$A$5:$A$304,$H31)))</f>
        <v/>
      </c>
      <c r="B31" s="23">
        <f>IF($H31="","",INDEX('例_対応履歴'!$E$5:$E$304,$H31)&amp;"")</f>
        <v/>
      </c>
      <c r="C31" s="23">
        <f>IF($H31="","",INDEX('例_対応履歴'!$D$5:$D$304,$H31)&amp;"")</f>
        <v/>
      </c>
      <c r="D31" s="24">
        <f>IF($H31="","",INDEX('例_対応履歴'!$F$5:$F$304,$H31)&amp;"")</f>
        <v/>
      </c>
      <c r="E31" s="24">
        <f>IF($H31="","",INDEX('例_対応履歴'!$G$5:$G$304,$H31)&amp;"")</f>
        <v/>
      </c>
      <c r="F31" s="22">
        <f>IF($H31="","",IF(INDEX('例_対応履歴'!$H$5:$H$304,$H31)="","",INDEX('例_対応履歴'!$H$5:$H$304,$H31)))</f>
        <v/>
      </c>
      <c r="G31" s="31" t="n"/>
      <c r="H31" s="33">
        <f>IFERROR(MATCH(LARGE('例_対応履歴'!$K$5:$K$304,8),'例_対応履歴'!$K$5:$K$304,0),"")</f>
        <v/>
      </c>
    </row>
    <row r="32" ht="34" customHeight="1">
      <c r="A32" s="22">
        <f>IF($H32="","",IF(INDEX('例_対応履歴'!$A$5:$A$304,$H32)="","",INDEX('例_対応履歴'!$A$5:$A$304,$H32)))</f>
        <v/>
      </c>
      <c r="B32" s="23">
        <f>IF($H32="","",INDEX('例_対応履歴'!$E$5:$E$304,$H32)&amp;"")</f>
        <v/>
      </c>
      <c r="C32" s="23">
        <f>IF($H32="","",INDEX('例_対応履歴'!$D$5:$D$304,$H32)&amp;"")</f>
        <v/>
      </c>
      <c r="D32" s="24">
        <f>IF($H32="","",INDEX('例_対応履歴'!$F$5:$F$304,$H32)&amp;"")</f>
        <v/>
      </c>
      <c r="E32" s="24">
        <f>IF($H32="","",INDEX('例_対応履歴'!$G$5:$G$304,$H32)&amp;"")</f>
        <v/>
      </c>
      <c r="F32" s="22">
        <f>IF($H32="","",IF(INDEX('例_対応履歴'!$H$5:$H$304,$H32)="","",INDEX('例_対応履歴'!$H$5:$H$304,$H32)))</f>
        <v/>
      </c>
      <c r="G32" s="31" t="n"/>
      <c r="H32" s="33">
        <f>IFERROR(MATCH(LARGE('例_対応履歴'!$K$5:$K$304,9),'例_対応履歴'!$K$5:$K$304,0),"")</f>
        <v/>
      </c>
    </row>
    <row r="33" ht="34" customHeight="1">
      <c r="A33" s="22">
        <f>IF($H33="","",IF(INDEX('例_対応履歴'!$A$5:$A$304,$H33)="","",INDEX('例_対応履歴'!$A$5:$A$304,$H33)))</f>
        <v/>
      </c>
      <c r="B33" s="23">
        <f>IF($H33="","",INDEX('例_対応履歴'!$E$5:$E$304,$H33)&amp;"")</f>
        <v/>
      </c>
      <c r="C33" s="23">
        <f>IF($H33="","",INDEX('例_対応履歴'!$D$5:$D$304,$H33)&amp;"")</f>
        <v/>
      </c>
      <c r="D33" s="24">
        <f>IF($H33="","",INDEX('例_対応履歴'!$F$5:$F$304,$H33)&amp;"")</f>
        <v/>
      </c>
      <c r="E33" s="24">
        <f>IF($H33="","",INDEX('例_対応履歴'!$G$5:$G$304,$H33)&amp;"")</f>
        <v/>
      </c>
      <c r="F33" s="22">
        <f>IF($H33="","",IF(INDEX('例_対応履歴'!$H$5:$H$304,$H33)="","",INDEX('例_対応履歴'!$H$5:$H$304,$H33)))</f>
        <v/>
      </c>
      <c r="G33" s="31" t="n"/>
      <c r="H33" s="33">
        <f>IFERROR(MATCH(LARGE('例_対応履歴'!$K$5:$K$304,10),'例_対応履歴'!$K$5:$K$304,0),"")</f>
        <v/>
      </c>
    </row>
    <row r="34" ht="18" customHeight="1">
      <c r="A34" s="32">
        <f>IF($H$3="","","この顧客の対応履歴は全"&amp;INDEX('例_顧客一覧'!$K$5:$K$104,$H$3)&amp;"件です。10件を超える分は「例_対応履歴」シートで顧客IDを絞り込んでください。")</f>
        <v/>
      </c>
      <c r="B34" s="31" t="n"/>
      <c r="C34" s="31" t="n"/>
      <c r="D34" s="31" t="n"/>
      <c r="E34" s="31" t="n"/>
      <c r="F34" s="31" t="n"/>
      <c r="G34" s="31" t="n"/>
      <c r="H34" s="31" t="n"/>
    </row>
  </sheetData>
  <mergeCells count="34">
    <mergeCell ref="C17:F17"/>
    <mergeCell ref="C8:F8"/>
    <mergeCell ref="A11:B11"/>
    <mergeCell ref="C7:F7"/>
    <mergeCell ref="C19:F19"/>
    <mergeCell ref="A6:B6"/>
    <mergeCell ref="C13:F13"/>
    <mergeCell ref="A2:F2"/>
    <mergeCell ref="C18:F18"/>
    <mergeCell ref="A16:B16"/>
    <mergeCell ref="A7:B7"/>
    <mergeCell ref="A5:F5"/>
    <mergeCell ref="C6:F6"/>
    <mergeCell ref="D3:F3"/>
    <mergeCell ref="A22:F22"/>
    <mergeCell ref="A18:B18"/>
    <mergeCell ref="A3:B3"/>
    <mergeCell ref="A12:B12"/>
    <mergeCell ref="C20:F20"/>
    <mergeCell ref="C16:F16"/>
    <mergeCell ref="A34:F34"/>
    <mergeCell ref="A17:B17"/>
    <mergeCell ref="C10:F10"/>
    <mergeCell ref="A8:B8"/>
    <mergeCell ref="A15:F15"/>
    <mergeCell ref="C9:F9"/>
    <mergeCell ref="A20:B20"/>
    <mergeCell ref="A19:B19"/>
    <mergeCell ref="A1:F1"/>
    <mergeCell ref="C12:F12"/>
    <mergeCell ref="A10:B10"/>
    <mergeCell ref="A13:B13"/>
    <mergeCell ref="C11:F11"/>
    <mergeCell ref="A9:B9"/>
  </mergeCells>
  <dataValidations count="1">
    <dataValidation sqref="C3" showDropDown="0" showInputMessage="0" showErrorMessage="1" allowBlank="1" errorTitle="選択してください" error="顧客一覧に登録した顧客IDから選んでください" type="list">
      <formula1>='例_顧客一覧'!$A$5:$A$104</formula1>
    </dataValidation>
  </dataValidations>
  <pageMargins left="0.75" right="0.75" top="1" bottom="1" header="0.5" footer="0.5"/>
  <pageSetup orientation="portrait" paperSize="9" fitToHeight="1" fitToWidth="1"/>
</worksheet>
</file>

<file path=xl/worksheets/sheet8.xml><?xml version="1.0" encoding="utf-8"?>
<worksheet xmlns="http://schemas.openxmlformats.org/spreadsheetml/2006/main">
  <sheetPr>
    <tabColor rgb="00B9C4CF"/>
    <outlinePr summaryBelow="1" summaryRight="1"/>
    <pageSetUpPr fitToPage="1"/>
  </sheetPr>
  <dimension ref="A1:J104"/>
  <sheetViews>
    <sheetView showGridLines="0" workbookViewId="0">
      <pane ySplit="4" topLeftCell="A5" activePane="bottomLeft" state="frozen"/>
      <selection pane="bottomLeft" activeCell="A1" sqref="A1"/>
    </sheetView>
  </sheetViews>
  <sheetFormatPr baseColWidth="8" defaultRowHeight="15"/>
  <cols>
    <col width="6" customWidth="1" min="1" max="1"/>
    <col width="12" customWidth="1" min="2" max="2"/>
    <col width="10" customWidth="1" min="3" max="3"/>
    <col width="9" customWidth="1" min="4" max="4"/>
    <col width="24" customWidth="1" min="5" max="5"/>
    <col width="32" customWidth="1" min="6" max="6"/>
    <col width="9" customWidth="1" min="7" max="7"/>
    <col width="9" customWidth="1" min="8" max="8"/>
    <col width="12" customWidth="1" min="9" max="9"/>
    <col width="8" customWidth="1" min="10" max="10"/>
  </cols>
  <sheetData>
    <row r="1" ht="24" customHeight="1">
      <c r="A1" s="30" t="inlineStr">
        <is>
          <t>次回アクション一覧（記入例）</t>
        </is>
      </c>
      <c r="B1" s="31" t="n"/>
      <c r="C1" s="31" t="n"/>
      <c r="D1" s="31" t="n"/>
      <c r="E1" s="31" t="n"/>
      <c r="F1" s="31" t="n"/>
      <c r="G1" s="31" t="n"/>
      <c r="H1" s="31" t="n"/>
      <c r="I1" s="31" t="n"/>
      <c r="J1" s="31" t="n"/>
    </row>
    <row r="2" ht="28" customHeight="1">
      <c r="A2" s="34" t="inlineStr">
        <is>
          <t>基準日</t>
        </is>
      </c>
      <c r="B2" s="38" t="n">
        <v>46296</v>
      </c>
      <c r="C2" s="32" t="inlineStr">
        <is>
          <t>← 記入例は下の表と数字が合うように 2026/10/1 に固定してあります。ここを =TODAY() にすると今日の日付で判定します。</t>
        </is>
      </c>
      <c r="D2" s="31" t="n"/>
      <c r="E2" s="31" t="n"/>
      <c r="F2" s="31" t="n"/>
      <c r="G2" s="31" t="n"/>
      <c r="H2" s="31" t="n"/>
      <c r="I2" s="31" t="n"/>
      <c r="J2" s="31" t="n"/>
    </row>
    <row r="3" ht="26" customHeight="1">
      <c r="A3" s="32" t="inlineStr">
        <is>
          <t>顧客ごとに、いちばん新しい対応に書いた次回アクションだけを出します。赤=期日超過、黄=3日以内。次回アクションを空にした顧客は出ません（対応終了として扱います）。</t>
        </is>
      </c>
      <c r="B3" s="31" t="n"/>
      <c r="C3" s="31" t="n"/>
      <c r="D3" s="31" t="n"/>
      <c r="E3" s="31" t="n"/>
      <c r="F3" s="31" t="n"/>
      <c r="G3" s="31" t="n"/>
      <c r="H3" s="31" t="n"/>
      <c r="I3" s="31" t="n"/>
      <c r="J3" s="31" t="n"/>
    </row>
    <row r="4" ht="24" customHeight="1">
      <c r="A4" s="4" t="inlineStr">
        <is>
          <t>No</t>
        </is>
      </c>
      <c r="B4" s="4" t="inlineStr">
        <is>
          <t>期日</t>
        </is>
      </c>
      <c r="C4" s="4" t="inlineStr">
        <is>
          <t>残り日数</t>
        </is>
      </c>
      <c r="D4" s="4" t="inlineStr">
        <is>
          <t>顧客ID</t>
        </is>
      </c>
      <c r="E4" s="4" t="inlineStr">
        <is>
          <t>会社名・氏名</t>
        </is>
      </c>
      <c r="F4" s="4" t="inlineStr">
        <is>
          <t>次回アクション</t>
        </is>
      </c>
      <c r="G4" s="4" t="inlineStr">
        <is>
          <t>自社担当</t>
        </is>
      </c>
      <c r="H4" s="4" t="inlineStr">
        <is>
          <t>見込み度</t>
        </is>
      </c>
      <c r="I4" s="4" t="inlineStr">
        <is>
          <t>最終対応日</t>
        </is>
      </c>
      <c r="J4" s="6" t="inlineStr">
        <is>
          <t>作業列</t>
        </is>
      </c>
    </row>
    <row r="5">
      <c r="A5" s="23">
        <f>IF($J5="","",1)</f>
        <v/>
      </c>
      <c r="B5" s="22">
        <f>IF($J5="","",IF(INDEX('例_顧客一覧'!$M$5:$M$104,$J5)="","期日未定",INDEX('例_顧客一覧'!$M$5:$M$104,$J5)))</f>
        <v/>
      </c>
      <c r="C5" s="26">
        <f>IF($J5="","",IF(ISNUMBER($B5),$B5-$B$2,""))</f>
        <v/>
      </c>
      <c r="D5" s="23">
        <f>IF($J5="","",INDEX('例_顧客一覧'!$A$5:$A$104,$J5))</f>
        <v/>
      </c>
      <c r="E5" s="19">
        <f>IF($J5="","",INDEX('例_顧客一覧'!$C$5:$C$104,$J5)&amp;"")</f>
        <v/>
      </c>
      <c r="F5" s="19">
        <f>IF($J5="","",INDEX('例_顧客一覧'!$L$5:$L$104,$J5)&amp;"")</f>
        <v/>
      </c>
      <c r="G5" s="23">
        <f>IF($J5="","",INDEX('例_顧客一覧'!$G$5:$G$104,$J5)&amp;"")</f>
        <v/>
      </c>
      <c r="H5" s="23">
        <f>IF($J5="","",INDEX('例_顧客一覧'!$H$5:$H$104,$J5)&amp;"")</f>
        <v/>
      </c>
      <c r="I5" s="22">
        <f>IF($J5="","",INDEX('例_顧客一覧'!$J$5:$J$104,$J5))</f>
        <v/>
      </c>
      <c r="J5" s="33">
        <f>IFERROR(MATCH(SMALL('例_顧客一覧'!$O$5:$O$104,1),'例_顧客一覧'!$O$5:$O$104,0),"")</f>
        <v/>
      </c>
    </row>
    <row r="6">
      <c r="A6" s="23">
        <f>IF($J6="","",2)</f>
        <v/>
      </c>
      <c r="B6" s="22">
        <f>IF($J6="","",IF(INDEX('例_顧客一覧'!$M$5:$M$104,$J6)="","期日未定",INDEX('例_顧客一覧'!$M$5:$M$104,$J6)))</f>
        <v/>
      </c>
      <c r="C6" s="26">
        <f>IF($J6="","",IF(ISNUMBER($B6),$B6-$B$2,""))</f>
        <v/>
      </c>
      <c r="D6" s="23">
        <f>IF($J6="","",INDEX('例_顧客一覧'!$A$5:$A$104,$J6))</f>
        <v/>
      </c>
      <c r="E6" s="19">
        <f>IF($J6="","",INDEX('例_顧客一覧'!$C$5:$C$104,$J6)&amp;"")</f>
        <v/>
      </c>
      <c r="F6" s="19">
        <f>IF($J6="","",INDEX('例_顧客一覧'!$L$5:$L$104,$J6)&amp;"")</f>
        <v/>
      </c>
      <c r="G6" s="23">
        <f>IF($J6="","",INDEX('例_顧客一覧'!$G$5:$G$104,$J6)&amp;"")</f>
        <v/>
      </c>
      <c r="H6" s="23">
        <f>IF($J6="","",INDEX('例_顧客一覧'!$H$5:$H$104,$J6)&amp;"")</f>
        <v/>
      </c>
      <c r="I6" s="22">
        <f>IF($J6="","",INDEX('例_顧客一覧'!$J$5:$J$104,$J6))</f>
        <v/>
      </c>
      <c r="J6" s="33">
        <f>IFERROR(MATCH(SMALL('例_顧客一覧'!$O$5:$O$104,2),'例_顧客一覧'!$O$5:$O$104,0),"")</f>
        <v/>
      </c>
    </row>
    <row r="7">
      <c r="A7" s="23">
        <f>IF($J7="","",3)</f>
        <v/>
      </c>
      <c r="B7" s="22">
        <f>IF($J7="","",IF(INDEX('例_顧客一覧'!$M$5:$M$104,$J7)="","期日未定",INDEX('例_顧客一覧'!$M$5:$M$104,$J7)))</f>
        <v/>
      </c>
      <c r="C7" s="26">
        <f>IF($J7="","",IF(ISNUMBER($B7),$B7-$B$2,""))</f>
        <v/>
      </c>
      <c r="D7" s="23">
        <f>IF($J7="","",INDEX('例_顧客一覧'!$A$5:$A$104,$J7))</f>
        <v/>
      </c>
      <c r="E7" s="19">
        <f>IF($J7="","",INDEX('例_顧客一覧'!$C$5:$C$104,$J7)&amp;"")</f>
        <v/>
      </c>
      <c r="F7" s="19">
        <f>IF($J7="","",INDEX('例_顧客一覧'!$L$5:$L$104,$J7)&amp;"")</f>
        <v/>
      </c>
      <c r="G7" s="23">
        <f>IF($J7="","",INDEX('例_顧客一覧'!$G$5:$G$104,$J7)&amp;"")</f>
        <v/>
      </c>
      <c r="H7" s="23">
        <f>IF($J7="","",INDEX('例_顧客一覧'!$H$5:$H$104,$J7)&amp;"")</f>
        <v/>
      </c>
      <c r="I7" s="22">
        <f>IF($J7="","",INDEX('例_顧客一覧'!$J$5:$J$104,$J7))</f>
        <v/>
      </c>
      <c r="J7" s="33">
        <f>IFERROR(MATCH(SMALL('例_顧客一覧'!$O$5:$O$104,3),'例_顧客一覧'!$O$5:$O$104,0),"")</f>
        <v/>
      </c>
    </row>
    <row r="8">
      <c r="A8" s="23">
        <f>IF($J8="","",4)</f>
        <v/>
      </c>
      <c r="B8" s="22">
        <f>IF($J8="","",IF(INDEX('例_顧客一覧'!$M$5:$M$104,$J8)="","期日未定",INDEX('例_顧客一覧'!$M$5:$M$104,$J8)))</f>
        <v/>
      </c>
      <c r="C8" s="26">
        <f>IF($J8="","",IF(ISNUMBER($B8),$B8-$B$2,""))</f>
        <v/>
      </c>
      <c r="D8" s="23">
        <f>IF($J8="","",INDEX('例_顧客一覧'!$A$5:$A$104,$J8))</f>
        <v/>
      </c>
      <c r="E8" s="19">
        <f>IF($J8="","",INDEX('例_顧客一覧'!$C$5:$C$104,$J8)&amp;"")</f>
        <v/>
      </c>
      <c r="F8" s="19">
        <f>IF($J8="","",INDEX('例_顧客一覧'!$L$5:$L$104,$J8)&amp;"")</f>
        <v/>
      </c>
      <c r="G8" s="23">
        <f>IF($J8="","",INDEX('例_顧客一覧'!$G$5:$G$104,$J8)&amp;"")</f>
        <v/>
      </c>
      <c r="H8" s="23">
        <f>IF($J8="","",INDEX('例_顧客一覧'!$H$5:$H$104,$J8)&amp;"")</f>
        <v/>
      </c>
      <c r="I8" s="22">
        <f>IF($J8="","",INDEX('例_顧客一覧'!$J$5:$J$104,$J8))</f>
        <v/>
      </c>
      <c r="J8" s="33">
        <f>IFERROR(MATCH(SMALL('例_顧客一覧'!$O$5:$O$104,4),'例_顧客一覧'!$O$5:$O$104,0),"")</f>
        <v/>
      </c>
    </row>
    <row r="9">
      <c r="A9" s="23">
        <f>IF($J9="","",5)</f>
        <v/>
      </c>
      <c r="B9" s="22">
        <f>IF($J9="","",IF(INDEX('例_顧客一覧'!$M$5:$M$104,$J9)="","期日未定",INDEX('例_顧客一覧'!$M$5:$M$104,$J9)))</f>
        <v/>
      </c>
      <c r="C9" s="26">
        <f>IF($J9="","",IF(ISNUMBER($B9),$B9-$B$2,""))</f>
        <v/>
      </c>
      <c r="D9" s="23">
        <f>IF($J9="","",INDEX('例_顧客一覧'!$A$5:$A$104,$J9))</f>
        <v/>
      </c>
      <c r="E9" s="19">
        <f>IF($J9="","",INDEX('例_顧客一覧'!$C$5:$C$104,$J9)&amp;"")</f>
        <v/>
      </c>
      <c r="F9" s="19">
        <f>IF($J9="","",INDEX('例_顧客一覧'!$L$5:$L$104,$J9)&amp;"")</f>
        <v/>
      </c>
      <c r="G9" s="23">
        <f>IF($J9="","",INDEX('例_顧客一覧'!$G$5:$G$104,$J9)&amp;"")</f>
        <v/>
      </c>
      <c r="H9" s="23">
        <f>IF($J9="","",INDEX('例_顧客一覧'!$H$5:$H$104,$J9)&amp;"")</f>
        <v/>
      </c>
      <c r="I9" s="22">
        <f>IF($J9="","",INDEX('例_顧客一覧'!$J$5:$J$104,$J9))</f>
        <v/>
      </c>
      <c r="J9" s="33">
        <f>IFERROR(MATCH(SMALL('例_顧客一覧'!$O$5:$O$104,5),'例_顧客一覧'!$O$5:$O$104,0),"")</f>
        <v/>
      </c>
    </row>
    <row r="10">
      <c r="A10" s="23">
        <f>IF($J10="","",6)</f>
        <v/>
      </c>
      <c r="B10" s="22">
        <f>IF($J10="","",IF(INDEX('例_顧客一覧'!$M$5:$M$104,$J10)="","期日未定",INDEX('例_顧客一覧'!$M$5:$M$104,$J10)))</f>
        <v/>
      </c>
      <c r="C10" s="26">
        <f>IF($J10="","",IF(ISNUMBER($B10),$B10-$B$2,""))</f>
        <v/>
      </c>
      <c r="D10" s="23">
        <f>IF($J10="","",INDEX('例_顧客一覧'!$A$5:$A$104,$J10))</f>
        <v/>
      </c>
      <c r="E10" s="19">
        <f>IF($J10="","",INDEX('例_顧客一覧'!$C$5:$C$104,$J10)&amp;"")</f>
        <v/>
      </c>
      <c r="F10" s="19">
        <f>IF($J10="","",INDEX('例_顧客一覧'!$L$5:$L$104,$J10)&amp;"")</f>
        <v/>
      </c>
      <c r="G10" s="23">
        <f>IF($J10="","",INDEX('例_顧客一覧'!$G$5:$G$104,$J10)&amp;"")</f>
        <v/>
      </c>
      <c r="H10" s="23">
        <f>IF($J10="","",INDEX('例_顧客一覧'!$H$5:$H$104,$J10)&amp;"")</f>
        <v/>
      </c>
      <c r="I10" s="22">
        <f>IF($J10="","",INDEX('例_顧客一覧'!$J$5:$J$104,$J10))</f>
        <v/>
      </c>
      <c r="J10" s="33">
        <f>IFERROR(MATCH(SMALL('例_顧客一覧'!$O$5:$O$104,6),'例_顧客一覧'!$O$5:$O$104,0),"")</f>
        <v/>
      </c>
    </row>
    <row r="11">
      <c r="A11" s="23">
        <f>IF($J11="","",7)</f>
        <v/>
      </c>
      <c r="B11" s="22">
        <f>IF($J11="","",IF(INDEX('例_顧客一覧'!$M$5:$M$104,$J11)="","期日未定",INDEX('例_顧客一覧'!$M$5:$M$104,$J11)))</f>
        <v/>
      </c>
      <c r="C11" s="26">
        <f>IF($J11="","",IF(ISNUMBER($B11),$B11-$B$2,""))</f>
        <v/>
      </c>
      <c r="D11" s="23">
        <f>IF($J11="","",INDEX('例_顧客一覧'!$A$5:$A$104,$J11))</f>
        <v/>
      </c>
      <c r="E11" s="19">
        <f>IF($J11="","",INDEX('例_顧客一覧'!$C$5:$C$104,$J11)&amp;"")</f>
        <v/>
      </c>
      <c r="F11" s="19">
        <f>IF($J11="","",INDEX('例_顧客一覧'!$L$5:$L$104,$J11)&amp;"")</f>
        <v/>
      </c>
      <c r="G11" s="23">
        <f>IF($J11="","",INDEX('例_顧客一覧'!$G$5:$G$104,$J11)&amp;"")</f>
        <v/>
      </c>
      <c r="H11" s="23">
        <f>IF($J11="","",INDEX('例_顧客一覧'!$H$5:$H$104,$J11)&amp;"")</f>
        <v/>
      </c>
      <c r="I11" s="22">
        <f>IF($J11="","",INDEX('例_顧客一覧'!$J$5:$J$104,$J11))</f>
        <v/>
      </c>
      <c r="J11" s="33">
        <f>IFERROR(MATCH(SMALL('例_顧客一覧'!$O$5:$O$104,7),'例_顧客一覧'!$O$5:$O$104,0),"")</f>
        <v/>
      </c>
    </row>
    <row r="12">
      <c r="A12" s="23">
        <f>IF($J12="","",8)</f>
        <v/>
      </c>
      <c r="B12" s="22">
        <f>IF($J12="","",IF(INDEX('例_顧客一覧'!$M$5:$M$104,$J12)="","期日未定",INDEX('例_顧客一覧'!$M$5:$M$104,$J12)))</f>
        <v/>
      </c>
      <c r="C12" s="26">
        <f>IF($J12="","",IF(ISNUMBER($B12),$B12-$B$2,""))</f>
        <v/>
      </c>
      <c r="D12" s="23">
        <f>IF($J12="","",INDEX('例_顧客一覧'!$A$5:$A$104,$J12))</f>
        <v/>
      </c>
      <c r="E12" s="19">
        <f>IF($J12="","",INDEX('例_顧客一覧'!$C$5:$C$104,$J12)&amp;"")</f>
        <v/>
      </c>
      <c r="F12" s="19">
        <f>IF($J12="","",INDEX('例_顧客一覧'!$L$5:$L$104,$J12)&amp;"")</f>
        <v/>
      </c>
      <c r="G12" s="23">
        <f>IF($J12="","",INDEX('例_顧客一覧'!$G$5:$G$104,$J12)&amp;"")</f>
        <v/>
      </c>
      <c r="H12" s="23">
        <f>IF($J12="","",INDEX('例_顧客一覧'!$H$5:$H$104,$J12)&amp;"")</f>
        <v/>
      </c>
      <c r="I12" s="22">
        <f>IF($J12="","",INDEX('例_顧客一覧'!$J$5:$J$104,$J12))</f>
        <v/>
      </c>
      <c r="J12" s="33">
        <f>IFERROR(MATCH(SMALL('例_顧客一覧'!$O$5:$O$104,8),'例_顧客一覧'!$O$5:$O$104,0),"")</f>
        <v/>
      </c>
    </row>
    <row r="13">
      <c r="A13" s="23">
        <f>IF($J13="","",9)</f>
        <v/>
      </c>
      <c r="B13" s="22">
        <f>IF($J13="","",IF(INDEX('例_顧客一覧'!$M$5:$M$104,$J13)="","期日未定",INDEX('例_顧客一覧'!$M$5:$M$104,$J13)))</f>
        <v/>
      </c>
      <c r="C13" s="26">
        <f>IF($J13="","",IF(ISNUMBER($B13),$B13-$B$2,""))</f>
        <v/>
      </c>
      <c r="D13" s="23">
        <f>IF($J13="","",INDEX('例_顧客一覧'!$A$5:$A$104,$J13))</f>
        <v/>
      </c>
      <c r="E13" s="19">
        <f>IF($J13="","",INDEX('例_顧客一覧'!$C$5:$C$104,$J13)&amp;"")</f>
        <v/>
      </c>
      <c r="F13" s="19">
        <f>IF($J13="","",INDEX('例_顧客一覧'!$L$5:$L$104,$J13)&amp;"")</f>
        <v/>
      </c>
      <c r="G13" s="23">
        <f>IF($J13="","",INDEX('例_顧客一覧'!$G$5:$G$104,$J13)&amp;"")</f>
        <v/>
      </c>
      <c r="H13" s="23">
        <f>IF($J13="","",INDEX('例_顧客一覧'!$H$5:$H$104,$J13)&amp;"")</f>
        <v/>
      </c>
      <c r="I13" s="22">
        <f>IF($J13="","",INDEX('例_顧客一覧'!$J$5:$J$104,$J13))</f>
        <v/>
      </c>
      <c r="J13" s="33">
        <f>IFERROR(MATCH(SMALL('例_顧客一覧'!$O$5:$O$104,9),'例_顧客一覧'!$O$5:$O$104,0),"")</f>
        <v/>
      </c>
    </row>
    <row r="14">
      <c r="A14" s="23">
        <f>IF($J14="","",10)</f>
        <v/>
      </c>
      <c r="B14" s="22">
        <f>IF($J14="","",IF(INDEX('例_顧客一覧'!$M$5:$M$104,$J14)="","期日未定",INDEX('例_顧客一覧'!$M$5:$M$104,$J14)))</f>
        <v/>
      </c>
      <c r="C14" s="26">
        <f>IF($J14="","",IF(ISNUMBER($B14),$B14-$B$2,""))</f>
        <v/>
      </c>
      <c r="D14" s="23">
        <f>IF($J14="","",INDEX('例_顧客一覧'!$A$5:$A$104,$J14))</f>
        <v/>
      </c>
      <c r="E14" s="19">
        <f>IF($J14="","",INDEX('例_顧客一覧'!$C$5:$C$104,$J14)&amp;"")</f>
        <v/>
      </c>
      <c r="F14" s="19">
        <f>IF($J14="","",INDEX('例_顧客一覧'!$L$5:$L$104,$J14)&amp;"")</f>
        <v/>
      </c>
      <c r="G14" s="23">
        <f>IF($J14="","",INDEX('例_顧客一覧'!$G$5:$G$104,$J14)&amp;"")</f>
        <v/>
      </c>
      <c r="H14" s="23">
        <f>IF($J14="","",INDEX('例_顧客一覧'!$H$5:$H$104,$J14)&amp;"")</f>
        <v/>
      </c>
      <c r="I14" s="22">
        <f>IF($J14="","",INDEX('例_顧客一覧'!$J$5:$J$104,$J14))</f>
        <v/>
      </c>
      <c r="J14" s="33">
        <f>IFERROR(MATCH(SMALL('例_顧客一覧'!$O$5:$O$104,10),'例_顧客一覧'!$O$5:$O$104,0),"")</f>
        <v/>
      </c>
    </row>
    <row r="15">
      <c r="A15" s="23">
        <f>IF($J15="","",11)</f>
        <v/>
      </c>
      <c r="B15" s="22">
        <f>IF($J15="","",IF(INDEX('例_顧客一覧'!$M$5:$M$104,$J15)="","期日未定",INDEX('例_顧客一覧'!$M$5:$M$104,$J15)))</f>
        <v/>
      </c>
      <c r="C15" s="26">
        <f>IF($J15="","",IF(ISNUMBER($B15),$B15-$B$2,""))</f>
        <v/>
      </c>
      <c r="D15" s="23">
        <f>IF($J15="","",INDEX('例_顧客一覧'!$A$5:$A$104,$J15))</f>
        <v/>
      </c>
      <c r="E15" s="19">
        <f>IF($J15="","",INDEX('例_顧客一覧'!$C$5:$C$104,$J15)&amp;"")</f>
        <v/>
      </c>
      <c r="F15" s="19">
        <f>IF($J15="","",INDEX('例_顧客一覧'!$L$5:$L$104,$J15)&amp;"")</f>
        <v/>
      </c>
      <c r="G15" s="23">
        <f>IF($J15="","",INDEX('例_顧客一覧'!$G$5:$G$104,$J15)&amp;"")</f>
        <v/>
      </c>
      <c r="H15" s="23">
        <f>IF($J15="","",INDEX('例_顧客一覧'!$H$5:$H$104,$J15)&amp;"")</f>
        <v/>
      </c>
      <c r="I15" s="22">
        <f>IF($J15="","",INDEX('例_顧客一覧'!$J$5:$J$104,$J15))</f>
        <v/>
      </c>
      <c r="J15" s="33">
        <f>IFERROR(MATCH(SMALL('例_顧客一覧'!$O$5:$O$104,11),'例_顧客一覧'!$O$5:$O$104,0),"")</f>
        <v/>
      </c>
    </row>
    <row r="16">
      <c r="A16" s="23">
        <f>IF($J16="","",12)</f>
        <v/>
      </c>
      <c r="B16" s="22">
        <f>IF($J16="","",IF(INDEX('例_顧客一覧'!$M$5:$M$104,$J16)="","期日未定",INDEX('例_顧客一覧'!$M$5:$M$104,$J16)))</f>
        <v/>
      </c>
      <c r="C16" s="26">
        <f>IF($J16="","",IF(ISNUMBER($B16),$B16-$B$2,""))</f>
        <v/>
      </c>
      <c r="D16" s="23">
        <f>IF($J16="","",INDEX('例_顧客一覧'!$A$5:$A$104,$J16))</f>
        <v/>
      </c>
      <c r="E16" s="19">
        <f>IF($J16="","",INDEX('例_顧客一覧'!$C$5:$C$104,$J16)&amp;"")</f>
        <v/>
      </c>
      <c r="F16" s="19">
        <f>IF($J16="","",INDEX('例_顧客一覧'!$L$5:$L$104,$J16)&amp;"")</f>
        <v/>
      </c>
      <c r="G16" s="23">
        <f>IF($J16="","",INDEX('例_顧客一覧'!$G$5:$G$104,$J16)&amp;"")</f>
        <v/>
      </c>
      <c r="H16" s="23">
        <f>IF($J16="","",INDEX('例_顧客一覧'!$H$5:$H$104,$J16)&amp;"")</f>
        <v/>
      </c>
      <c r="I16" s="22">
        <f>IF($J16="","",INDEX('例_顧客一覧'!$J$5:$J$104,$J16))</f>
        <v/>
      </c>
      <c r="J16" s="33">
        <f>IFERROR(MATCH(SMALL('例_顧客一覧'!$O$5:$O$104,12),'例_顧客一覧'!$O$5:$O$104,0),"")</f>
        <v/>
      </c>
    </row>
    <row r="17">
      <c r="A17" s="23">
        <f>IF($J17="","",13)</f>
        <v/>
      </c>
      <c r="B17" s="22">
        <f>IF($J17="","",IF(INDEX('例_顧客一覧'!$M$5:$M$104,$J17)="","期日未定",INDEX('例_顧客一覧'!$M$5:$M$104,$J17)))</f>
        <v/>
      </c>
      <c r="C17" s="26">
        <f>IF($J17="","",IF(ISNUMBER($B17),$B17-$B$2,""))</f>
        <v/>
      </c>
      <c r="D17" s="23">
        <f>IF($J17="","",INDEX('例_顧客一覧'!$A$5:$A$104,$J17))</f>
        <v/>
      </c>
      <c r="E17" s="19">
        <f>IF($J17="","",INDEX('例_顧客一覧'!$C$5:$C$104,$J17)&amp;"")</f>
        <v/>
      </c>
      <c r="F17" s="19">
        <f>IF($J17="","",INDEX('例_顧客一覧'!$L$5:$L$104,$J17)&amp;"")</f>
        <v/>
      </c>
      <c r="G17" s="23">
        <f>IF($J17="","",INDEX('例_顧客一覧'!$G$5:$G$104,$J17)&amp;"")</f>
        <v/>
      </c>
      <c r="H17" s="23">
        <f>IF($J17="","",INDEX('例_顧客一覧'!$H$5:$H$104,$J17)&amp;"")</f>
        <v/>
      </c>
      <c r="I17" s="22">
        <f>IF($J17="","",INDEX('例_顧客一覧'!$J$5:$J$104,$J17))</f>
        <v/>
      </c>
      <c r="J17" s="33">
        <f>IFERROR(MATCH(SMALL('例_顧客一覧'!$O$5:$O$104,13),'例_顧客一覧'!$O$5:$O$104,0),"")</f>
        <v/>
      </c>
    </row>
    <row r="18">
      <c r="A18" s="23">
        <f>IF($J18="","",14)</f>
        <v/>
      </c>
      <c r="B18" s="22">
        <f>IF($J18="","",IF(INDEX('例_顧客一覧'!$M$5:$M$104,$J18)="","期日未定",INDEX('例_顧客一覧'!$M$5:$M$104,$J18)))</f>
        <v/>
      </c>
      <c r="C18" s="26">
        <f>IF($J18="","",IF(ISNUMBER($B18),$B18-$B$2,""))</f>
        <v/>
      </c>
      <c r="D18" s="23">
        <f>IF($J18="","",INDEX('例_顧客一覧'!$A$5:$A$104,$J18))</f>
        <v/>
      </c>
      <c r="E18" s="19">
        <f>IF($J18="","",INDEX('例_顧客一覧'!$C$5:$C$104,$J18)&amp;"")</f>
        <v/>
      </c>
      <c r="F18" s="19">
        <f>IF($J18="","",INDEX('例_顧客一覧'!$L$5:$L$104,$J18)&amp;"")</f>
        <v/>
      </c>
      <c r="G18" s="23">
        <f>IF($J18="","",INDEX('例_顧客一覧'!$G$5:$G$104,$J18)&amp;"")</f>
        <v/>
      </c>
      <c r="H18" s="23">
        <f>IF($J18="","",INDEX('例_顧客一覧'!$H$5:$H$104,$J18)&amp;"")</f>
        <v/>
      </c>
      <c r="I18" s="22">
        <f>IF($J18="","",INDEX('例_顧客一覧'!$J$5:$J$104,$J18))</f>
        <v/>
      </c>
      <c r="J18" s="33">
        <f>IFERROR(MATCH(SMALL('例_顧客一覧'!$O$5:$O$104,14),'例_顧客一覧'!$O$5:$O$104,0),"")</f>
        <v/>
      </c>
    </row>
    <row r="19">
      <c r="A19" s="23">
        <f>IF($J19="","",15)</f>
        <v/>
      </c>
      <c r="B19" s="22">
        <f>IF($J19="","",IF(INDEX('例_顧客一覧'!$M$5:$M$104,$J19)="","期日未定",INDEX('例_顧客一覧'!$M$5:$M$104,$J19)))</f>
        <v/>
      </c>
      <c r="C19" s="26">
        <f>IF($J19="","",IF(ISNUMBER($B19),$B19-$B$2,""))</f>
        <v/>
      </c>
      <c r="D19" s="23">
        <f>IF($J19="","",INDEX('例_顧客一覧'!$A$5:$A$104,$J19))</f>
        <v/>
      </c>
      <c r="E19" s="19">
        <f>IF($J19="","",INDEX('例_顧客一覧'!$C$5:$C$104,$J19)&amp;"")</f>
        <v/>
      </c>
      <c r="F19" s="19">
        <f>IF($J19="","",INDEX('例_顧客一覧'!$L$5:$L$104,$J19)&amp;"")</f>
        <v/>
      </c>
      <c r="G19" s="23">
        <f>IF($J19="","",INDEX('例_顧客一覧'!$G$5:$G$104,$J19)&amp;"")</f>
        <v/>
      </c>
      <c r="H19" s="23">
        <f>IF($J19="","",INDEX('例_顧客一覧'!$H$5:$H$104,$J19)&amp;"")</f>
        <v/>
      </c>
      <c r="I19" s="22">
        <f>IF($J19="","",INDEX('例_顧客一覧'!$J$5:$J$104,$J19))</f>
        <v/>
      </c>
      <c r="J19" s="33">
        <f>IFERROR(MATCH(SMALL('例_顧客一覧'!$O$5:$O$104,15),'例_顧客一覧'!$O$5:$O$104,0),"")</f>
        <v/>
      </c>
    </row>
    <row r="20">
      <c r="A20" s="23">
        <f>IF($J20="","",16)</f>
        <v/>
      </c>
      <c r="B20" s="22">
        <f>IF($J20="","",IF(INDEX('例_顧客一覧'!$M$5:$M$104,$J20)="","期日未定",INDEX('例_顧客一覧'!$M$5:$M$104,$J20)))</f>
        <v/>
      </c>
      <c r="C20" s="26">
        <f>IF($J20="","",IF(ISNUMBER($B20),$B20-$B$2,""))</f>
        <v/>
      </c>
      <c r="D20" s="23">
        <f>IF($J20="","",INDEX('例_顧客一覧'!$A$5:$A$104,$J20))</f>
        <v/>
      </c>
      <c r="E20" s="19">
        <f>IF($J20="","",INDEX('例_顧客一覧'!$C$5:$C$104,$J20)&amp;"")</f>
        <v/>
      </c>
      <c r="F20" s="19">
        <f>IF($J20="","",INDEX('例_顧客一覧'!$L$5:$L$104,$J20)&amp;"")</f>
        <v/>
      </c>
      <c r="G20" s="23">
        <f>IF($J20="","",INDEX('例_顧客一覧'!$G$5:$G$104,$J20)&amp;"")</f>
        <v/>
      </c>
      <c r="H20" s="23">
        <f>IF($J20="","",INDEX('例_顧客一覧'!$H$5:$H$104,$J20)&amp;"")</f>
        <v/>
      </c>
      <c r="I20" s="22">
        <f>IF($J20="","",INDEX('例_顧客一覧'!$J$5:$J$104,$J20))</f>
        <v/>
      </c>
      <c r="J20" s="33">
        <f>IFERROR(MATCH(SMALL('例_顧客一覧'!$O$5:$O$104,16),'例_顧客一覧'!$O$5:$O$104,0),"")</f>
        <v/>
      </c>
    </row>
    <row r="21">
      <c r="A21" s="23">
        <f>IF($J21="","",17)</f>
        <v/>
      </c>
      <c r="B21" s="22">
        <f>IF($J21="","",IF(INDEX('例_顧客一覧'!$M$5:$M$104,$J21)="","期日未定",INDEX('例_顧客一覧'!$M$5:$M$104,$J21)))</f>
        <v/>
      </c>
      <c r="C21" s="26">
        <f>IF($J21="","",IF(ISNUMBER($B21),$B21-$B$2,""))</f>
        <v/>
      </c>
      <c r="D21" s="23">
        <f>IF($J21="","",INDEX('例_顧客一覧'!$A$5:$A$104,$J21))</f>
        <v/>
      </c>
      <c r="E21" s="19">
        <f>IF($J21="","",INDEX('例_顧客一覧'!$C$5:$C$104,$J21)&amp;"")</f>
        <v/>
      </c>
      <c r="F21" s="19">
        <f>IF($J21="","",INDEX('例_顧客一覧'!$L$5:$L$104,$J21)&amp;"")</f>
        <v/>
      </c>
      <c r="G21" s="23">
        <f>IF($J21="","",INDEX('例_顧客一覧'!$G$5:$G$104,$J21)&amp;"")</f>
        <v/>
      </c>
      <c r="H21" s="23">
        <f>IF($J21="","",INDEX('例_顧客一覧'!$H$5:$H$104,$J21)&amp;"")</f>
        <v/>
      </c>
      <c r="I21" s="22">
        <f>IF($J21="","",INDEX('例_顧客一覧'!$J$5:$J$104,$J21))</f>
        <v/>
      </c>
      <c r="J21" s="33">
        <f>IFERROR(MATCH(SMALL('例_顧客一覧'!$O$5:$O$104,17),'例_顧客一覧'!$O$5:$O$104,0),"")</f>
        <v/>
      </c>
    </row>
    <row r="22">
      <c r="A22" s="23">
        <f>IF($J22="","",18)</f>
        <v/>
      </c>
      <c r="B22" s="22">
        <f>IF($J22="","",IF(INDEX('例_顧客一覧'!$M$5:$M$104,$J22)="","期日未定",INDEX('例_顧客一覧'!$M$5:$M$104,$J22)))</f>
        <v/>
      </c>
      <c r="C22" s="26">
        <f>IF($J22="","",IF(ISNUMBER($B22),$B22-$B$2,""))</f>
        <v/>
      </c>
      <c r="D22" s="23">
        <f>IF($J22="","",INDEX('例_顧客一覧'!$A$5:$A$104,$J22))</f>
        <v/>
      </c>
      <c r="E22" s="19">
        <f>IF($J22="","",INDEX('例_顧客一覧'!$C$5:$C$104,$J22)&amp;"")</f>
        <v/>
      </c>
      <c r="F22" s="19">
        <f>IF($J22="","",INDEX('例_顧客一覧'!$L$5:$L$104,$J22)&amp;"")</f>
        <v/>
      </c>
      <c r="G22" s="23">
        <f>IF($J22="","",INDEX('例_顧客一覧'!$G$5:$G$104,$J22)&amp;"")</f>
        <v/>
      </c>
      <c r="H22" s="23">
        <f>IF($J22="","",INDEX('例_顧客一覧'!$H$5:$H$104,$J22)&amp;"")</f>
        <v/>
      </c>
      <c r="I22" s="22">
        <f>IF($J22="","",INDEX('例_顧客一覧'!$J$5:$J$104,$J22))</f>
        <v/>
      </c>
      <c r="J22" s="33">
        <f>IFERROR(MATCH(SMALL('例_顧客一覧'!$O$5:$O$104,18),'例_顧客一覧'!$O$5:$O$104,0),"")</f>
        <v/>
      </c>
    </row>
    <row r="23">
      <c r="A23" s="23">
        <f>IF($J23="","",19)</f>
        <v/>
      </c>
      <c r="B23" s="22">
        <f>IF($J23="","",IF(INDEX('例_顧客一覧'!$M$5:$M$104,$J23)="","期日未定",INDEX('例_顧客一覧'!$M$5:$M$104,$J23)))</f>
        <v/>
      </c>
      <c r="C23" s="26">
        <f>IF($J23="","",IF(ISNUMBER($B23),$B23-$B$2,""))</f>
        <v/>
      </c>
      <c r="D23" s="23">
        <f>IF($J23="","",INDEX('例_顧客一覧'!$A$5:$A$104,$J23))</f>
        <v/>
      </c>
      <c r="E23" s="19">
        <f>IF($J23="","",INDEX('例_顧客一覧'!$C$5:$C$104,$J23)&amp;"")</f>
        <v/>
      </c>
      <c r="F23" s="19">
        <f>IF($J23="","",INDEX('例_顧客一覧'!$L$5:$L$104,$J23)&amp;"")</f>
        <v/>
      </c>
      <c r="G23" s="23">
        <f>IF($J23="","",INDEX('例_顧客一覧'!$G$5:$G$104,$J23)&amp;"")</f>
        <v/>
      </c>
      <c r="H23" s="23">
        <f>IF($J23="","",INDEX('例_顧客一覧'!$H$5:$H$104,$J23)&amp;"")</f>
        <v/>
      </c>
      <c r="I23" s="22">
        <f>IF($J23="","",INDEX('例_顧客一覧'!$J$5:$J$104,$J23))</f>
        <v/>
      </c>
      <c r="J23" s="33">
        <f>IFERROR(MATCH(SMALL('例_顧客一覧'!$O$5:$O$104,19),'例_顧客一覧'!$O$5:$O$104,0),"")</f>
        <v/>
      </c>
    </row>
    <row r="24">
      <c r="A24" s="23">
        <f>IF($J24="","",20)</f>
        <v/>
      </c>
      <c r="B24" s="22">
        <f>IF($J24="","",IF(INDEX('例_顧客一覧'!$M$5:$M$104,$J24)="","期日未定",INDEX('例_顧客一覧'!$M$5:$M$104,$J24)))</f>
        <v/>
      </c>
      <c r="C24" s="26">
        <f>IF($J24="","",IF(ISNUMBER($B24),$B24-$B$2,""))</f>
        <v/>
      </c>
      <c r="D24" s="23">
        <f>IF($J24="","",INDEX('例_顧客一覧'!$A$5:$A$104,$J24))</f>
        <v/>
      </c>
      <c r="E24" s="19">
        <f>IF($J24="","",INDEX('例_顧客一覧'!$C$5:$C$104,$J24)&amp;"")</f>
        <v/>
      </c>
      <c r="F24" s="19">
        <f>IF($J24="","",INDEX('例_顧客一覧'!$L$5:$L$104,$J24)&amp;"")</f>
        <v/>
      </c>
      <c r="G24" s="23">
        <f>IF($J24="","",INDEX('例_顧客一覧'!$G$5:$G$104,$J24)&amp;"")</f>
        <v/>
      </c>
      <c r="H24" s="23">
        <f>IF($J24="","",INDEX('例_顧客一覧'!$H$5:$H$104,$J24)&amp;"")</f>
        <v/>
      </c>
      <c r="I24" s="22">
        <f>IF($J24="","",INDEX('例_顧客一覧'!$J$5:$J$104,$J24))</f>
        <v/>
      </c>
      <c r="J24" s="33">
        <f>IFERROR(MATCH(SMALL('例_顧客一覧'!$O$5:$O$104,20),'例_顧客一覧'!$O$5:$O$104,0),"")</f>
        <v/>
      </c>
    </row>
    <row r="25">
      <c r="A25" s="23">
        <f>IF($J25="","",21)</f>
        <v/>
      </c>
      <c r="B25" s="22">
        <f>IF($J25="","",IF(INDEX('例_顧客一覧'!$M$5:$M$104,$J25)="","期日未定",INDEX('例_顧客一覧'!$M$5:$M$104,$J25)))</f>
        <v/>
      </c>
      <c r="C25" s="26">
        <f>IF($J25="","",IF(ISNUMBER($B25),$B25-$B$2,""))</f>
        <v/>
      </c>
      <c r="D25" s="23">
        <f>IF($J25="","",INDEX('例_顧客一覧'!$A$5:$A$104,$J25))</f>
        <v/>
      </c>
      <c r="E25" s="19">
        <f>IF($J25="","",INDEX('例_顧客一覧'!$C$5:$C$104,$J25)&amp;"")</f>
        <v/>
      </c>
      <c r="F25" s="19">
        <f>IF($J25="","",INDEX('例_顧客一覧'!$L$5:$L$104,$J25)&amp;"")</f>
        <v/>
      </c>
      <c r="G25" s="23">
        <f>IF($J25="","",INDEX('例_顧客一覧'!$G$5:$G$104,$J25)&amp;"")</f>
        <v/>
      </c>
      <c r="H25" s="23">
        <f>IF($J25="","",INDEX('例_顧客一覧'!$H$5:$H$104,$J25)&amp;"")</f>
        <v/>
      </c>
      <c r="I25" s="22">
        <f>IF($J25="","",INDEX('例_顧客一覧'!$J$5:$J$104,$J25))</f>
        <v/>
      </c>
      <c r="J25" s="33">
        <f>IFERROR(MATCH(SMALL('例_顧客一覧'!$O$5:$O$104,21),'例_顧客一覧'!$O$5:$O$104,0),"")</f>
        <v/>
      </c>
    </row>
    <row r="26">
      <c r="A26" s="23">
        <f>IF($J26="","",22)</f>
        <v/>
      </c>
      <c r="B26" s="22">
        <f>IF($J26="","",IF(INDEX('例_顧客一覧'!$M$5:$M$104,$J26)="","期日未定",INDEX('例_顧客一覧'!$M$5:$M$104,$J26)))</f>
        <v/>
      </c>
      <c r="C26" s="26">
        <f>IF($J26="","",IF(ISNUMBER($B26),$B26-$B$2,""))</f>
        <v/>
      </c>
      <c r="D26" s="23">
        <f>IF($J26="","",INDEX('例_顧客一覧'!$A$5:$A$104,$J26))</f>
        <v/>
      </c>
      <c r="E26" s="19">
        <f>IF($J26="","",INDEX('例_顧客一覧'!$C$5:$C$104,$J26)&amp;"")</f>
        <v/>
      </c>
      <c r="F26" s="19">
        <f>IF($J26="","",INDEX('例_顧客一覧'!$L$5:$L$104,$J26)&amp;"")</f>
        <v/>
      </c>
      <c r="G26" s="23">
        <f>IF($J26="","",INDEX('例_顧客一覧'!$G$5:$G$104,$J26)&amp;"")</f>
        <v/>
      </c>
      <c r="H26" s="23">
        <f>IF($J26="","",INDEX('例_顧客一覧'!$H$5:$H$104,$J26)&amp;"")</f>
        <v/>
      </c>
      <c r="I26" s="22">
        <f>IF($J26="","",INDEX('例_顧客一覧'!$J$5:$J$104,$J26))</f>
        <v/>
      </c>
      <c r="J26" s="33">
        <f>IFERROR(MATCH(SMALL('例_顧客一覧'!$O$5:$O$104,22),'例_顧客一覧'!$O$5:$O$104,0),"")</f>
        <v/>
      </c>
    </row>
    <row r="27">
      <c r="A27" s="23">
        <f>IF($J27="","",23)</f>
        <v/>
      </c>
      <c r="B27" s="22">
        <f>IF($J27="","",IF(INDEX('例_顧客一覧'!$M$5:$M$104,$J27)="","期日未定",INDEX('例_顧客一覧'!$M$5:$M$104,$J27)))</f>
        <v/>
      </c>
      <c r="C27" s="26">
        <f>IF($J27="","",IF(ISNUMBER($B27),$B27-$B$2,""))</f>
        <v/>
      </c>
      <c r="D27" s="23">
        <f>IF($J27="","",INDEX('例_顧客一覧'!$A$5:$A$104,$J27))</f>
        <v/>
      </c>
      <c r="E27" s="19">
        <f>IF($J27="","",INDEX('例_顧客一覧'!$C$5:$C$104,$J27)&amp;"")</f>
        <v/>
      </c>
      <c r="F27" s="19">
        <f>IF($J27="","",INDEX('例_顧客一覧'!$L$5:$L$104,$J27)&amp;"")</f>
        <v/>
      </c>
      <c r="G27" s="23">
        <f>IF($J27="","",INDEX('例_顧客一覧'!$G$5:$G$104,$J27)&amp;"")</f>
        <v/>
      </c>
      <c r="H27" s="23">
        <f>IF($J27="","",INDEX('例_顧客一覧'!$H$5:$H$104,$J27)&amp;"")</f>
        <v/>
      </c>
      <c r="I27" s="22">
        <f>IF($J27="","",INDEX('例_顧客一覧'!$J$5:$J$104,$J27))</f>
        <v/>
      </c>
      <c r="J27" s="33">
        <f>IFERROR(MATCH(SMALL('例_顧客一覧'!$O$5:$O$104,23),'例_顧客一覧'!$O$5:$O$104,0),"")</f>
        <v/>
      </c>
    </row>
    <row r="28">
      <c r="A28" s="23">
        <f>IF($J28="","",24)</f>
        <v/>
      </c>
      <c r="B28" s="22">
        <f>IF($J28="","",IF(INDEX('例_顧客一覧'!$M$5:$M$104,$J28)="","期日未定",INDEX('例_顧客一覧'!$M$5:$M$104,$J28)))</f>
        <v/>
      </c>
      <c r="C28" s="26">
        <f>IF($J28="","",IF(ISNUMBER($B28),$B28-$B$2,""))</f>
        <v/>
      </c>
      <c r="D28" s="23">
        <f>IF($J28="","",INDEX('例_顧客一覧'!$A$5:$A$104,$J28))</f>
        <v/>
      </c>
      <c r="E28" s="19">
        <f>IF($J28="","",INDEX('例_顧客一覧'!$C$5:$C$104,$J28)&amp;"")</f>
        <v/>
      </c>
      <c r="F28" s="19">
        <f>IF($J28="","",INDEX('例_顧客一覧'!$L$5:$L$104,$J28)&amp;"")</f>
        <v/>
      </c>
      <c r="G28" s="23">
        <f>IF($J28="","",INDEX('例_顧客一覧'!$G$5:$G$104,$J28)&amp;"")</f>
        <v/>
      </c>
      <c r="H28" s="23">
        <f>IF($J28="","",INDEX('例_顧客一覧'!$H$5:$H$104,$J28)&amp;"")</f>
        <v/>
      </c>
      <c r="I28" s="22">
        <f>IF($J28="","",INDEX('例_顧客一覧'!$J$5:$J$104,$J28))</f>
        <v/>
      </c>
      <c r="J28" s="33">
        <f>IFERROR(MATCH(SMALL('例_顧客一覧'!$O$5:$O$104,24),'例_顧客一覧'!$O$5:$O$104,0),"")</f>
        <v/>
      </c>
    </row>
    <row r="29">
      <c r="A29" s="23">
        <f>IF($J29="","",25)</f>
        <v/>
      </c>
      <c r="B29" s="22">
        <f>IF($J29="","",IF(INDEX('例_顧客一覧'!$M$5:$M$104,$J29)="","期日未定",INDEX('例_顧客一覧'!$M$5:$M$104,$J29)))</f>
        <v/>
      </c>
      <c r="C29" s="26">
        <f>IF($J29="","",IF(ISNUMBER($B29),$B29-$B$2,""))</f>
        <v/>
      </c>
      <c r="D29" s="23">
        <f>IF($J29="","",INDEX('例_顧客一覧'!$A$5:$A$104,$J29))</f>
        <v/>
      </c>
      <c r="E29" s="19">
        <f>IF($J29="","",INDEX('例_顧客一覧'!$C$5:$C$104,$J29)&amp;"")</f>
        <v/>
      </c>
      <c r="F29" s="19">
        <f>IF($J29="","",INDEX('例_顧客一覧'!$L$5:$L$104,$J29)&amp;"")</f>
        <v/>
      </c>
      <c r="G29" s="23">
        <f>IF($J29="","",INDEX('例_顧客一覧'!$G$5:$G$104,$J29)&amp;"")</f>
        <v/>
      </c>
      <c r="H29" s="23">
        <f>IF($J29="","",INDEX('例_顧客一覧'!$H$5:$H$104,$J29)&amp;"")</f>
        <v/>
      </c>
      <c r="I29" s="22">
        <f>IF($J29="","",INDEX('例_顧客一覧'!$J$5:$J$104,$J29))</f>
        <v/>
      </c>
      <c r="J29" s="33">
        <f>IFERROR(MATCH(SMALL('例_顧客一覧'!$O$5:$O$104,25),'例_顧客一覧'!$O$5:$O$104,0),"")</f>
        <v/>
      </c>
    </row>
    <row r="30">
      <c r="A30" s="23">
        <f>IF($J30="","",26)</f>
        <v/>
      </c>
      <c r="B30" s="22">
        <f>IF($J30="","",IF(INDEX('例_顧客一覧'!$M$5:$M$104,$J30)="","期日未定",INDEX('例_顧客一覧'!$M$5:$M$104,$J30)))</f>
        <v/>
      </c>
      <c r="C30" s="26">
        <f>IF($J30="","",IF(ISNUMBER($B30),$B30-$B$2,""))</f>
        <v/>
      </c>
      <c r="D30" s="23">
        <f>IF($J30="","",INDEX('例_顧客一覧'!$A$5:$A$104,$J30))</f>
        <v/>
      </c>
      <c r="E30" s="19">
        <f>IF($J30="","",INDEX('例_顧客一覧'!$C$5:$C$104,$J30)&amp;"")</f>
        <v/>
      </c>
      <c r="F30" s="19">
        <f>IF($J30="","",INDEX('例_顧客一覧'!$L$5:$L$104,$J30)&amp;"")</f>
        <v/>
      </c>
      <c r="G30" s="23">
        <f>IF($J30="","",INDEX('例_顧客一覧'!$G$5:$G$104,$J30)&amp;"")</f>
        <v/>
      </c>
      <c r="H30" s="23">
        <f>IF($J30="","",INDEX('例_顧客一覧'!$H$5:$H$104,$J30)&amp;"")</f>
        <v/>
      </c>
      <c r="I30" s="22">
        <f>IF($J30="","",INDEX('例_顧客一覧'!$J$5:$J$104,$J30))</f>
        <v/>
      </c>
      <c r="J30" s="33">
        <f>IFERROR(MATCH(SMALL('例_顧客一覧'!$O$5:$O$104,26),'例_顧客一覧'!$O$5:$O$104,0),"")</f>
        <v/>
      </c>
    </row>
    <row r="31">
      <c r="A31" s="23">
        <f>IF($J31="","",27)</f>
        <v/>
      </c>
      <c r="B31" s="22">
        <f>IF($J31="","",IF(INDEX('例_顧客一覧'!$M$5:$M$104,$J31)="","期日未定",INDEX('例_顧客一覧'!$M$5:$M$104,$J31)))</f>
        <v/>
      </c>
      <c r="C31" s="26">
        <f>IF($J31="","",IF(ISNUMBER($B31),$B31-$B$2,""))</f>
        <v/>
      </c>
      <c r="D31" s="23">
        <f>IF($J31="","",INDEX('例_顧客一覧'!$A$5:$A$104,$J31))</f>
        <v/>
      </c>
      <c r="E31" s="19">
        <f>IF($J31="","",INDEX('例_顧客一覧'!$C$5:$C$104,$J31)&amp;"")</f>
        <v/>
      </c>
      <c r="F31" s="19">
        <f>IF($J31="","",INDEX('例_顧客一覧'!$L$5:$L$104,$J31)&amp;"")</f>
        <v/>
      </c>
      <c r="G31" s="23">
        <f>IF($J31="","",INDEX('例_顧客一覧'!$G$5:$G$104,$J31)&amp;"")</f>
        <v/>
      </c>
      <c r="H31" s="23">
        <f>IF($J31="","",INDEX('例_顧客一覧'!$H$5:$H$104,$J31)&amp;"")</f>
        <v/>
      </c>
      <c r="I31" s="22">
        <f>IF($J31="","",INDEX('例_顧客一覧'!$J$5:$J$104,$J31))</f>
        <v/>
      </c>
      <c r="J31" s="33">
        <f>IFERROR(MATCH(SMALL('例_顧客一覧'!$O$5:$O$104,27),'例_顧客一覧'!$O$5:$O$104,0),"")</f>
        <v/>
      </c>
    </row>
    <row r="32">
      <c r="A32" s="23">
        <f>IF($J32="","",28)</f>
        <v/>
      </c>
      <c r="B32" s="22">
        <f>IF($J32="","",IF(INDEX('例_顧客一覧'!$M$5:$M$104,$J32)="","期日未定",INDEX('例_顧客一覧'!$M$5:$M$104,$J32)))</f>
        <v/>
      </c>
      <c r="C32" s="26">
        <f>IF($J32="","",IF(ISNUMBER($B32),$B32-$B$2,""))</f>
        <v/>
      </c>
      <c r="D32" s="23">
        <f>IF($J32="","",INDEX('例_顧客一覧'!$A$5:$A$104,$J32))</f>
        <v/>
      </c>
      <c r="E32" s="19">
        <f>IF($J32="","",INDEX('例_顧客一覧'!$C$5:$C$104,$J32)&amp;"")</f>
        <v/>
      </c>
      <c r="F32" s="19">
        <f>IF($J32="","",INDEX('例_顧客一覧'!$L$5:$L$104,$J32)&amp;"")</f>
        <v/>
      </c>
      <c r="G32" s="23">
        <f>IF($J32="","",INDEX('例_顧客一覧'!$G$5:$G$104,$J32)&amp;"")</f>
        <v/>
      </c>
      <c r="H32" s="23">
        <f>IF($J32="","",INDEX('例_顧客一覧'!$H$5:$H$104,$J32)&amp;"")</f>
        <v/>
      </c>
      <c r="I32" s="22">
        <f>IF($J32="","",INDEX('例_顧客一覧'!$J$5:$J$104,$J32))</f>
        <v/>
      </c>
      <c r="J32" s="33">
        <f>IFERROR(MATCH(SMALL('例_顧客一覧'!$O$5:$O$104,28),'例_顧客一覧'!$O$5:$O$104,0),"")</f>
        <v/>
      </c>
    </row>
    <row r="33">
      <c r="A33" s="23">
        <f>IF($J33="","",29)</f>
        <v/>
      </c>
      <c r="B33" s="22">
        <f>IF($J33="","",IF(INDEX('例_顧客一覧'!$M$5:$M$104,$J33)="","期日未定",INDEX('例_顧客一覧'!$M$5:$M$104,$J33)))</f>
        <v/>
      </c>
      <c r="C33" s="26">
        <f>IF($J33="","",IF(ISNUMBER($B33),$B33-$B$2,""))</f>
        <v/>
      </c>
      <c r="D33" s="23">
        <f>IF($J33="","",INDEX('例_顧客一覧'!$A$5:$A$104,$J33))</f>
        <v/>
      </c>
      <c r="E33" s="19">
        <f>IF($J33="","",INDEX('例_顧客一覧'!$C$5:$C$104,$J33)&amp;"")</f>
        <v/>
      </c>
      <c r="F33" s="19">
        <f>IF($J33="","",INDEX('例_顧客一覧'!$L$5:$L$104,$J33)&amp;"")</f>
        <v/>
      </c>
      <c r="G33" s="23">
        <f>IF($J33="","",INDEX('例_顧客一覧'!$G$5:$G$104,$J33)&amp;"")</f>
        <v/>
      </c>
      <c r="H33" s="23">
        <f>IF($J33="","",INDEX('例_顧客一覧'!$H$5:$H$104,$J33)&amp;"")</f>
        <v/>
      </c>
      <c r="I33" s="22">
        <f>IF($J33="","",INDEX('例_顧客一覧'!$J$5:$J$104,$J33))</f>
        <v/>
      </c>
      <c r="J33" s="33">
        <f>IFERROR(MATCH(SMALL('例_顧客一覧'!$O$5:$O$104,29),'例_顧客一覧'!$O$5:$O$104,0),"")</f>
        <v/>
      </c>
    </row>
    <row r="34">
      <c r="A34" s="23">
        <f>IF($J34="","",30)</f>
        <v/>
      </c>
      <c r="B34" s="22">
        <f>IF($J34="","",IF(INDEX('例_顧客一覧'!$M$5:$M$104,$J34)="","期日未定",INDEX('例_顧客一覧'!$M$5:$M$104,$J34)))</f>
        <v/>
      </c>
      <c r="C34" s="26">
        <f>IF($J34="","",IF(ISNUMBER($B34),$B34-$B$2,""))</f>
        <v/>
      </c>
      <c r="D34" s="23">
        <f>IF($J34="","",INDEX('例_顧客一覧'!$A$5:$A$104,$J34))</f>
        <v/>
      </c>
      <c r="E34" s="19">
        <f>IF($J34="","",INDEX('例_顧客一覧'!$C$5:$C$104,$J34)&amp;"")</f>
        <v/>
      </c>
      <c r="F34" s="19">
        <f>IF($J34="","",INDEX('例_顧客一覧'!$L$5:$L$104,$J34)&amp;"")</f>
        <v/>
      </c>
      <c r="G34" s="23">
        <f>IF($J34="","",INDEX('例_顧客一覧'!$G$5:$G$104,$J34)&amp;"")</f>
        <v/>
      </c>
      <c r="H34" s="23">
        <f>IF($J34="","",INDEX('例_顧客一覧'!$H$5:$H$104,$J34)&amp;"")</f>
        <v/>
      </c>
      <c r="I34" s="22">
        <f>IF($J34="","",INDEX('例_顧客一覧'!$J$5:$J$104,$J34))</f>
        <v/>
      </c>
      <c r="J34" s="33">
        <f>IFERROR(MATCH(SMALL('例_顧客一覧'!$O$5:$O$104,30),'例_顧客一覧'!$O$5:$O$104,0),"")</f>
        <v/>
      </c>
    </row>
    <row r="35">
      <c r="A35" s="23">
        <f>IF($J35="","",31)</f>
        <v/>
      </c>
      <c r="B35" s="22">
        <f>IF($J35="","",IF(INDEX('例_顧客一覧'!$M$5:$M$104,$J35)="","期日未定",INDEX('例_顧客一覧'!$M$5:$M$104,$J35)))</f>
        <v/>
      </c>
      <c r="C35" s="26">
        <f>IF($J35="","",IF(ISNUMBER($B35),$B35-$B$2,""))</f>
        <v/>
      </c>
      <c r="D35" s="23">
        <f>IF($J35="","",INDEX('例_顧客一覧'!$A$5:$A$104,$J35))</f>
        <v/>
      </c>
      <c r="E35" s="19">
        <f>IF($J35="","",INDEX('例_顧客一覧'!$C$5:$C$104,$J35)&amp;"")</f>
        <v/>
      </c>
      <c r="F35" s="19">
        <f>IF($J35="","",INDEX('例_顧客一覧'!$L$5:$L$104,$J35)&amp;"")</f>
        <v/>
      </c>
      <c r="G35" s="23">
        <f>IF($J35="","",INDEX('例_顧客一覧'!$G$5:$G$104,$J35)&amp;"")</f>
        <v/>
      </c>
      <c r="H35" s="23">
        <f>IF($J35="","",INDEX('例_顧客一覧'!$H$5:$H$104,$J35)&amp;"")</f>
        <v/>
      </c>
      <c r="I35" s="22">
        <f>IF($J35="","",INDEX('例_顧客一覧'!$J$5:$J$104,$J35))</f>
        <v/>
      </c>
      <c r="J35" s="33">
        <f>IFERROR(MATCH(SMALL('例_顧客一覧'!$O$5:$O$104,31),'例_顧客一覧'!$O$5:$O$104,0),"")</f>
        <v/>
      </c>
    </row>
    <row r="36">
      <c r="A36" s="23">
        <f>IF($J36="","",32)</f>
        <v/>
      </c>
      <c r="B36" s="22">
        <f>IF($J36="","",IF(INDEX('例_顧客一覧'!$M$5:$M$104,$J36)="","期日未定",INDEX('例_顧客一覧'!$M$5:$M$104,$J36)))</f>
        <v/>
      </c>
      <c r="C36" s="26">
        <f>IF($J36="","",IF(ISNUMBER($B36),$B36-$B$2,""))</f>
        <v/>
      </c>
      <c r="D36" s="23">
        <f>IF($J36="","",INDEX('例_顧客一覧'!$A$5:$A$104,$J36))</f>
        <v/>
      </c>
      <c r="E36" s="19">
        <f>IF($J36="","",INDEX('例_顧客一覧'!$C$5:$C$104,$J36)&amp;"")</f>
        <v/>
      </c>
      <c r="F36" s="19">
        <f>IF($J36="","",INDEX('例_顧客一覧'!$L$5:$L$104,$J36)&amp;"")</f>
        <v/>
      </c>
      <c r="G36" s="23">
        <f>IF($J36="","",INDEX('例_顧客一覧'!$G$5:$G$104,$J36)&amp;"")</f>
        <v/>
      </c>
      <c r="H36" s="23">
        <f>IF($J36="","",INDEX('例_顧客一覧'!$H$5:$H$104,$J36)&amp;"")</f>
        <v/>
      </c>
      <c r="I36" s="22">
        <f>IF($J36="","",INDEX('例_顧客一覧'!$J$5:$J$104,$J36))</f>
        <v/>
      </c>
      <c r="J36" s="33">
        <f>IFERROR(MATCH(SMALL('例_顧客一覧'!$O$5:$O$104,32),'例_顧客一覧'!$O$5:$O$104,0),"")</f>
        <v/>
      </c>
    </row>
    <row r="37">
      <c r="A37" s="23">
        <f>IF($J37="","",33)</f>
        <v/>
      </c>
      <c r="B37" s="22">
        <f>IF($J37="","",IF(INDEX('例_顧客一覧'!$M$5:$M$104,$J37)="","期日未定",INDEX('例_顧客一覧'!$M$5:$M$104,$J37)))</f>
        <v/>
      </c>
      <c r="C37" s="26">
        <f>IF($J37="","",IF(ISNUMBER($B37),$B37-$B$2,""))</f>
        <v/>
      </c>
      <c r="D37" s="23">
        <f>IF($J37="","",INDEX('例_顧客一覧'!$A$5:$A$104,$J37))</f>
        <v/>
      </c>
      <c r="E37" s="19">
        <f>IF($J37="","",INDEX('例_顧客一覧'!$C$5:$C$104,$J37)&amp;"")</f>
        <v/>
      </c>
      <c r="F37" s="19">
        <f>IF($J37="","",INDEX('例_顧客一覧'!$L$5:$L$104,$J37)&amp;"")</f>
        <v/>
      </c>
      <c r="G37" s="23">
        <f>IF($J37="","",INDEX('例_顧客一覧'!$G$5:$G$104,$J37)&amp;"")</f>
        <v/>
      </c>
      <c r="H37" s="23">
        <f>IF($J37="","",INDEX('例_顧客一覧'!$H$5:$H$104,$J37)&amp;"")</f>
        <v/>
      </c>
      <c r="I37" s="22">
        <f>IF($J37="","",INDEX('例_顧客一覧'!$J$5:$J$104,$J37))</f>
        <v/>
      </c>
      <c r="J37" s="33">
        <f>IFERROR(MATCH(SMALL('例_顧客一覧'!$O$5:$O$104,33),'例_顧客一覧'!$O$5:$O$104,0),"")</f>
        <v/>
      </c>
    </row>
    <row r="38">
      <c r="A38" s="23">
        <f>IF($J38="","",34)</f>
        <v/>
      </c>
      <c r="B38" s="22">
        <f>IF($J38="","",IF(INDEX('例_顧客一覧'!$M$5:$M$104,$J38)="","期日未定",INDEX('例_顧客一覧'!$M$5:$M$104,$J38)))</f>
        <v/>
      </c>
      <c r="C38" s="26">
        <f>IF($J38="","",IF(ISNUMBER($B38),$B38-$B$2,""))</f>
        <v/>
      </c>
      <c r="D38" s="23">
        <f>IF($J38="","",INDEX('例_顧客一覧'!$A$5:$A$104,$J38))</f>
        <v/>
      </c>
      <c r="E38" s="19">
        <f>IF($J38="","",INDEX('例_顧客一覧'!$C$5:$C$104,$J38)&amp;"")</f>
        <v/>
      </c>
      <c r="F38" s="19">
        <f>IF($J38="","",INDEX('例_顧客一覧'!$L$5:$L$104,$J38)&amp;"")</f>
        <v/>
      </c>
      <c r="G38" s="23">
        <f>IF($J38="","",INDEX('例_顧客一覧'!$G$5:$G$104,$J38)&amp;"")</f>
        <v/>
      </c>
      <c r="H38" s="23">
        <f>IF($J38="","",INDEX('例_顧客一覧'!$H$5:$H$104,$J38)&amp;"")</f>
        <v/>
      </c>
      <c r="I38" s="22">
        <f>IF($J38="","",INDEX('例_顧客一覧'!$J$5:$J$104,$J38))</f>
        <v/>
      </c>
      <c r="J38" s="33">
        <f>IFERROR(MATCH(SMALL('例_顧客一覧'!$O$5:$O$104,34),'例_顧客一覧'!$O$5:$O$104,0),"")</f>
        <v/>
      </c>
    </row>
    <row r="39">
      <c r="A39" s="23">
        <f>IF($J39="","",35)</f>
        <v/>
      </c>
      <c r="B39" s="22">
        <f>IF($J39="","",IF(INDEX('例_顧客一覧'!$M$5:$M$104,$J39)="","期日未定",INDEX('例_顧客一覧'!$M$5:$M$104,$J39)))</f>
        <v/>
      </c>
      <c r="C39" s="26">
        <f>IF($J39="","",IF(ISNUMBER($B39),$B39-$B$2,""))</f>
        <v/>
      </c>
      <c r="D39" s="23">
        <f>IF($J39="","",INDEX('例_顧客一覧'!$A$5:$A$104,$J39))</f>
        <v/>
      </c>
      <c r="E39" s="19">
        <f>IF($J39="","",INDEX('例_顧客一覧'!$C$5:$C$104,$J39)&amp;"")</f>
        <v/>
      </c>
      <c r="F39" s="19">
        <f>IF($J39="","",INDEX('例_顧客一覧'!$L$5:$L$104,$J39)&amp;"")</f>
        <v/>
      </c>
      <c r="G39" s="23">
        <f>IF($J39="","",INDEX('例_顧客一覧'!$G$5:$G$104,$J39)&amp;"")</f>
        <v/>
      </c>
      <c r="H39" s="23">
        <f>IF($J39="","",INDEX('例_顧客一覧'!$H$5:$H$104,$J39)&amp;"")</f>
        <v/>
      </c>
      <c r="I39" s="22">
        <f>IF($J39="","",INDEX('例_顧客一覧'!$J$5:$J$104,$J39))</f>
        <v/>
      </c>
      <c r="J39" s="33">
        <f>IFERROR(MATCH(SMALL('例_顧客一覧'!$O$5:$O$104,35),'例_顧客一覧'!$O$5:$O$104,0),"")</f>
        <v/>
      </c>
    </row>
    <row r="40">
      <c r="A40" s="23">
        <f>IF($J40="","",36)</f>
        <v/>
      </c>
      <c r="B40" s="22">
        <f>IF($J40="","",IF(INDEX('例_顧客一覧'!$M$5:$M$104,$J40)="","期日未定",INDEX('例_顧客一覧'!$M$5:$M$104,$J40)))</f>
        <v/>
      </c>
      <c r="C40" s="26">
        <f>IF($J40="","",IF(ISNUMBER($B40),$B40-$B$2,""))</f>
        <v/>
      </c>
      <c r="D40" s="23">
        <f>IF($J40="","",INDEX('例_顧客一覧'!$A$5:$A$104,$J40))</f>
        <v/>
      </c>
      <c r="E40" s="19">
        <f>IF($J40="","",INDEX('例_顧客一覧'!$C$5:$C$104,$J40)&amp;"")</f>
        <v/>
      </c>
      <c r="F40" s="19">
        <f>IF($J40="","",INDEX('例_顧客一覧'!$L$5:$L$104,$J40)&amp;"")</f>
        <v/>
      </c>
      <c r="G40" s="23">
        <f>IF($J40="","",INDEX('例_顧客一覧'!$G$5:$G$104,$J40)&amp;"")</f>
        <v/>
      </c>
      <c r="H40" s="23">
        <f>IF($J40="","",INDEX('例_顧客一覧'!$H$5:$H$104,$J40)&amp;"")</f>
        <v/>
      </c>
      <c r="I40" s="22">
        <f>IF($J40="","",INDEX('例_顧客一覧'!$J$5:$J$104,$J40))</f>
        <v/>
      </c>
      <c r="J40" s="33">
        <f>IFERROR(MATCH(SMALL('例_顧客一覧'!$O$5:$O$104,36),'例_顧客一覧'!$O$5:$O$104,0),"")</f>
        <v/>
      </c>
    </row>
    <row r="41">
      <c r="A41" s="23">
        <f>IF($J41="","",37)</f>
        <v/>
      </c>
      <c r="B41" s="22">
        <f>IF($J41="","",IF(INDEX('例_顧客一覧'!$M$5:$M$104,$J41)="","期日未定",INDEX('例_顧客一覧'!$M$5:$M$104,$J41)))</f>
        <v/>
      </c>
      <c r="C41" s="26">
        <f>IF($J41="","",IF(ISNUMBER($B41),$B41-$B$2,""))</f>
        <v/>
      </c>
      <c r="D41" s="23">
        <f>IF($J41="","",INDEX('例_顧客一覧'!$A$5:$A$104,$J41))</f>
        <v/>
      </c>
      <c r="E41" s="19">
        <f>IF($J41="","",INDEX('例_顧客一覧'!$C$5:$C$104,$J41)&amp;"")</f>
        <v/>
      </c>
      <c r="F41" s="19">
        <f>IF($J41="","",INDEX('例_顧客一覧'!$L$5:$L$104,$J41)&amp;"")</f>
        <v/>
      </c>
      <c r="G41" s="23">
        <f>IF($J41="","",INDEX('例_顧客一覧'!$G$5:$G$104,$J41)&amp;"")</f>
        <v/>
      </c>
      <c r="H41" s="23">
        <f>IF($J41="","",INDEX('例_顧客一覧'!$H$5:$H$104,$J41)&amp;"")</f>
        <v/>
      </c>
      <c r="I41" s="22">
        <f>IF($J41="","",INDEX('例_顧客一覧'!$J$5:$J$104,$J41))</f>
        <v/>
      </c>
      <c r="J41" s="33">
        <f>IFERROR(MATCH(SMALL('例_顧客一覧'!$O$5:$O$104,37),'例_顧客一覧'!$O$5:$O$104,0),"")</f>
        <v/>
      </c>
    </row>
    <row r="42">
      <c r="A42" s="23">
        <f>IF($J42="","",38)</f>
        <v/>
      </c>
      <c r="B42" s="22">
        <f>IF($J42="","",IF(INDEX('例_顧客一覧'!$M$5:$M$104,$J42)="","期日未定",INDEX('例_顧客一覧'!$M$5:$M$104,$J42)))</f>
        <v/>
      </c>
      <c r="C42" s="26">
        <f>IF($J42="","",IF(ISNUMBER($B42),$B42-$B$2,""))</f>
        <v/>
      </c>
      <c r="D42" s="23">
        <f>IF($J42="","",INDEX('例_顧客一覧'!$A$5:$A$104,$J42))</f>
        <v/>
      </c>
      <c r="E42" s="19">
        <f>IF($J42="","",INDEX('例_顧客一覧'!$C$5:$C$104,$J42)&amp;"")</f>
        <v/>
      </c>
      <c r="F42" s="19">
        <f>IF($J42="","",INDEX('例_顧客一覧'!$L$5:$L$104,$J42)&amp;"")</f>
        <v/>
      </c>
      <c r="G42" s="23">
        <f>IF($J42="","",INDEX('例_顧客一覧'!$G$5:$G$104,$J42)&amp;"")</f>
        <v/>
      </c>
      <c r="H42" s="23">
        <f>IF($J42="","",INDEX('例_顧客一覧'!$H$5:$H$104,$J42)&amp;"")</f>
        <v/>
      </c>
      <c r="I42" s="22">
        <f>IF($J42="","",INDEX('例_顧客一覧'!$J$5:$J$104,$J42))</f>
        <v/>
      </c>
      <c r="J42" s="33">
        <f>IFERROR(MATCH(SMALL('例_顧客一覧'!$O$5:$O$104,38),'例_顧客一覧'!$O$5:$O$104,0),"")</f>
        <v/>
      </c>
    </row>
    <row r="43">
      <c r="A43" s="23">
        <f>IF($J43="","",39)</f>
        <v/>
      </c>
      <c r="B43" s="22">
        <f>IF($J43="","",IF(INDEX('例_顧客一覧'!$M$5:$M$104,$J43)="","期日未定",INDEX('例_顧客一覧'!$M$5:$M$104,$J43)))</f>
        <v/>
      </c>
      <c r="C43" s="26">
        <f>IF($J43="","",IF(ISNUMBER($B43),$B43-$B$2,""))</f>
        <v/>
      </c>
      <c r="D43" s="23">
        <f>IF($J43="","",INDEX('例_顧客一覧'!$A$5:$A$104,$J43))</f>
        <v/>
      </c>
      <c r="E43" s="19">
        <f>IF($J43="","",INDEX('例_顧客一覧'!$C$5:$C$104,$J43)&amp;"")</f>
        <v/>
      </c>
      <c r="F43" s="19">
        <f>IF($J43="","",INDEX('例_顧客一覧'!$L$5:$L$104,$J43)&amp;"")</f>
        <v/>
      </c>
      <c r="G43" s="23">
        <f>IF($J43="","",INDEX('例_顧客一覧'!$G$5:$G$104,$J43)&amp;"")</f>
        <v/>
      </c>
      <c r="H43" s="23">
        <f>IF($J43="","",INDEX('例_顧客一覧'!$H$5:$H$104,$J43)&amp;"")</f>
        <v/>
      </c>
      <c r="I43" s="22">
        <f>IF($J43="","",INDEX('例_顧客一覧'!$J$5:$J$104,$J43))</f>
        <v/>
      </c>
      <c r="J43" s="33">
        <f>IFERROR(MATCH(SMALL('例_顧客一覧'!$O$5:$O$104,39),'例_顧客一覧'!$O$5:$O$104,0),"")</f>
        <v/>
      </c>
    </row>
    <row r="44">
      <c r="A44" s="23">
        <f>IF($J44="","",40)</f>
        <v/>
      </c>
      <c r="B44" s="22">
        <f>IF($J44="","",IF(INDEX('例_顧客一覧'!$M$5:$M$104,$J44)="","期日未定",INDEX('例_顧客一覧'!$M$5:$M$104,$J44)))</f>
        <v/>
      </c>
      <c r="C44" s="26">
        <f>IF($J44="","",IF(ISNUMBER($B44),$B44-$B$2,""))</f>
        <v/>
      </c>
      <c r="D44" s="23">
        <f>IF($J44="","",INDEX('例_顧客一覧'!$A$5:$A$104,$J44))</f>
        <v/>
      </c>
      <c r="E44" s="19">
        <f>IF($J44="","",INDEX('例_顧客一覧'!$C$5:$C$104,$J44)&amp;"")</f>
        <v/>
      </c>
      <c r="F44" s="19">
        <f>IF($J44="","",INDEX('例_顧客一覧'!$L$5:$L$104,$J44)&amp;"")</f>
        <v/>
      </c>
      <c r="G44" s="23">
        <f>IF($J44="","",INDEX('例_顧客一覧'!$G$5:$G$104,$J44)&amp;"")</f>
        <v/>
      </c>
      <c r="H44" s="23">
        <f>IF($J44="","",INDEX('例_顧客一覧'!$H$5:$H$104,$J44)&amp;"")</f>
        <v/>
      </c>
      <c r="I44" s="22">
        <f>IF($J44="","",INDEX('例_顧客一覧'!$J$5:$J$104,$J44))</f>
        <v/>
      </c>
      <c r="J44" s="33">
        <f>IFERROR(MATCH(SMALL('例_顧客一覧'!$O$5:$O$104,40),'例_顧客一覧'!$O$5:$O$104,0),"")</f>
        <v/>
      </c>
    </row>
    <row r="45">
      <c r="A45" s="23">
        <f>IF($J45="","",41)</f>
        <v/>
      </c>
      <c r="B45" s="22">
        <f>IF($J45="","",IF(INDEX('例_顧客一覧'!$M$5:$M$104,$J45)="","期日未定",INDEX('例_顧客一覧'!$M$5:$M$104,$J45)))</f>
        <v/>
      </c>
      <c r="C45" s="26">
        <f>IF($J45="","",IF(ISNUMBER($B45),$B45-$B$2,""))</f>
        <v/>
      </c>
      <c r="D45" s="23">
        <f>IF($J45="","",INDEX('例_顧客一覧'!$A$5:$A$104,$J45))</f>
        <v/>
      </c>
      <c r="E45" s="19">
        <f>IF($J45="","",INDEX('例_顧客一覧'!$C$5:$C$104,$J45)&amp;"")</f>
        <v/>
      </c>
      <c r="F45" s="19">
        <f>IF($J45="","",INDEX('例_顧客一覧'!$L$5:$L$104,$J45)&amp;"")</f>
        <v/>
      </c>
      <c r="G45" s="23">
        <f>IF($J45="","",INDEX('例_顧客一覧'!$G$5:$G$104,$J45)&amp;"")</f>
        <v/>
      </c>
      <c r="H45" s="23">
        <f>IF($J45="","",INDEX('例_顧客一覧'!$H$5:$H$104,$J45)&amp;"")</f>
        <v/>
      </c>
      <c r="I45" s="22">
        <f>IF($J45="","",INDEX('例_顧客一覧'!$J$5:$J$104,$J45))</f>
        <v/>
      </c>
      <c r="J45" s="33">
        <f>IFERROR(MATCH(SMALL('例_顧客一覧'!$O$5:$O$104,41),'例_顧客一覧'!$O$5:$O$104,0),"")</f>
        <v/>
      </c>
    </row>
    <row r="46">
      <c r="A46" s="23">
        <f>IF($J46="","",42)</f>
        <v/>
      </c>
      <c r="B46" s="22">
        <f>IF($J46="","",IF(INDEX('例_顧客一覧'!$M$5:$M$104,$J46)="","期日未定",INDEX('例_顧客一覧'!$M$5:$M$104,$J46)))</f>
        <v/>
      </c>
      <c r="C46" s="26">
        <f>IF($J46="","",IF(ISNUMBER($B46),$B46-$B$2,""))</f>
        <v/>
      </c>
      <c r="D46" s="23">
        <f>IF($J46="","",INDEX('例_顧客一覧'!$A$5:$A$104,$J46))</f>
        <v/>
      </c>
      <c r="E46" s="19">
        <f>IF($J46="","",INDEX('例_顧客一覧'!$C$5:$C$104,$J46)&amp;"")</f>
        <v/>
      </c>
      <c r="F46" s="19">
        <f>IF($J46="","",INDEX('例_顧客一覧'!$L$5:$L$104,$J46)&amp;"")</f>
        <v/>
      </c>
      <c r="G46" s="23">
        <f>IF($J46="","",INDEX('例_顧客一覧'!$G$5:$G$104,$J46)&amp;"")</f>
        <v/>
      </c>
      <c r="H46" s="23">
        <f>IF($J46="","",INDEX('例_顧客一覧'!$H$5:$H$104,$J46)&amp;"")</f>
        <v/>
      </c>
      <c r="I46" s="22">
        <f>IF($J46="","",INDEX('例_顧客一覧'!$J$5:$J$104,$J46))</f>
        <v/>
      </c>
      <c r="J46" s="33">
        <f>IFERROR(MATCH(SMALL('例_顧客一覧'!$O$5:$O$104,42),'例_顧客一覧'!$O$5:$O$104,0),"")</f>
        <v/>
      </c>
    </row>
    <row r="47">
      <c r="A47" s="23">
        <f>IF($J47="","",43)</f>
        <v/>
      </c>
      <c r="B47" s="22">
        <f>IF($J47="","",IF(INDEX('例_顧客一覧'!$M$5:$M$104,$J47)="","期日未定",INDEX('例_顧客一覧'!$M$5:$M$104,$J47)))</f>
        <v/>
      </c>
      <c r="C47" s="26">
        <f>IF($J47="","",IF(ISNUMBER($B47),$B47-$B$2,""))</f>
        <v/>
      </c>
      <c r="D47" s="23">
        <f>IF($J47="","",INDEX('例_顧客一覧'!$A$5:$A$104,$J47))</f>
        <v/>
      </c>
      <c r="E47" s="19">
        <f>IF($J47="","",INDEX('例_顧客一覧'!$C$5:$C$104,$J47)&amp;"")</f>
        <v/>
      </c>
      <c r="F47" s="19">
        <f>IF($J47="","",INDEX('例_顧客一覧'!$L$5:$L$104,$J47)&amp;"")</f>
        <v/>
      </c>
      <c r="G47" s="23">
        <f>IF($J47="","",INDEX('例_顧客一覧'!$G$5:$G$104,$J47)&amp;"")</f>
        <v/>
      </c>
      <c r="H47" s="23">
        <f>IF($J47="","",INDEX('例_顧客一覧'!$H$5:$H$104,$J47)&amp;"")</f>
        <v/>
      </c>
      <c r="I47" s="22">
        <f>IF($J47="","",INDEX('例_顧客一覧'!$J$5:$J$104,$J47))</f>
        <v/>
      </c>
      <c r="J47" s="33">
        <f>IFERROR(MATCH(SMALL('例_顧客一覧'!$O$5:$O$104,43),'例_顧客一覧'!$O$5:$O$104,0),"")</f>
        <v/>
      </c>
    </row>
    <row r="48">
      <c r="A48" s="23">
        <f>IF($J48="","",44)</f>
        <v/>
      </c>
      <c r="B48" s="22">
        <f>IF($J48="","",IF(INDEX('例_顧客一覧'!$M$5:$M$104,$J48)="","期日未定",INDEX('例_顧客一覧'!$M$5:$M$104,$J48)))</f>
        <v/>
      </c>
      <c r="C48" s="26">
        <f>IF($J48="","",IF(ISNUMBER($B48),$B48-$B$2,""))</f>
        <v/>
      </c>
      <c r="D48" s="23">
        <f>IF($J48="","",INDEX('例_顧客一覧'!$A$5:$A$104,$J48))</f>
        <v/>
      </c>
      <c r="E48" s="19">
        <f>IF($J48="","",INDEX('例_顧客一覧'!$C$5:$C$104,$J48)&amp;"")</f>
        <v/>
      </c>
      <c r="F48" s="19">
        <f>IF($J48="","",INDEX('例_顧客一覧'!$L$5:$L$104,$J48)&amp;"")</f>
        <v/>
      </c>
      <c r="G48" s="23">
        <f>IF($J48="","",INDEX('例_顧客一覧'!$G$5:$G$104,$J48)&amp;"")</f>
        <v/>
      </c>
      <c r="H48" s="23">
        <f>IF($J48="","",INDEX('例_顧客一覧'!$H$5:$H$104,$J48)&amp;"")</f>
        <v/>
      </c>
      <c r="I48" s="22">
        <f>IF($J48="","",INDEX('例_顧客一覧'!$J$5:$J$104,$J48))</f>
        <v/>
      </c>
      <c r="J48" s="33">
        <f>IFERROR(MATCH(SMALL('例_顧客一覧'!$O$5:$O$104,44),'例_顧客一覧'!$O$5:$O$104,0),"")</f>
        <v/>
      </c>
    </row>
    <row r="49">
      <c r="A49" s="23">
        <f>IF($J49="","",45)</f>
        <v/>
      </c>
      <c r="B49" s="22">
        <f>IF($J49="","",IF(INDEX('例_顧客一覧'!$M$5:$M$104,$J49)="","期日未定",INDEX('例_顧客一覧'!$M$5:$M$104,$J49)))</f>
        <v/>
      </c>
      <c r="C49" s="26">
        <f>IF($J49="","",IF(ISNUMBER($B49),$B49-$B$2,""))</f>
        <v/>
      </c>
      <c r="D49" s="23">
        <f>IF($J49="","",INDEX('例_顧客一覧'!$A$5:$A$104,$J49))</f>
        <v/>
      </c>
      <c r="E49" s="19">
        <f>IF($J49="","",INDEX('例_顧客一覧'!$C$5:$C$104,$J49)&amp;"")</f>
        <v/>
      </c>
      <c r="F49" s="19">
        <f>IF($J49="","",INDEX('例_顧客一覧'!$L$5:$L$104,$J49)&amp;"")</f>
        <v/>
      </c>
      <c r="G49" s="23">
        <f>IF($J49="","",INDEX('例_顧客一覧'!$G$5:$G$104,$J49)&amp;"")</f>
        <v/>
      </c>
      <c r="H49" s="23">
        <f>IF($J49="","",INDEX('例_顧客一覧'!$H$5:$H$104,$J49)&amp;"")</f>
        <v/>
      </c>
      <c r="I49" s="22">
        <f>IF($J49="","",INDEX('例_顧客一覧'!$J$5:$J$104,$J49))</f>
        <v/>
      </c>
      <c r="J49" s="33">
        <f>IFERROR(MATCH(SMALL('例_顧客一覧'!$O$5:$O$104,45),'例_顧客一覧'!$O$5:$O$104,0),"")</f>
        <v/>
      </c>
    </row>
    <row r="50">
      <c r="A50" s="23">
        <f>IF($J50="","",46)</f>
        <v/>
      </c>
      <c r="B50" s="22">
        <f>IF($J50="","",IF(INDEX('例_顧客一覧'!$M$5:$M$104,$J50)="","期日未定",INDEX('例_顧客一覧'!$M$5:$M$104,$J50)))</f>
        <v/>
      </c>
      <c r="C50" s="26">
        <f>IF($J50="","",IF(ISNUMBER($B50),$B50-$B$2,""))</f>
        <v/>
      </c>
      <c r="D50" s="23">
        <f>IF($J50="","",INDEX('例_顧客一覧'!$A$5:$A$104,$J50))</f>
        <v/>
      </c>
      <c r="E50" s="19">
        <f>IF($J50="","",INDEX('例_顧客一覧'!$C$5:$C$104,$J50)&amp;"")</f>
        <v/>
      </c>
      <c r="F50" s="19">
        <f>IF($J50="","",INDEX('例_顧客一覧'!$L$5:$L$104,$J50)&amp;"")</f>
        <v/>
      </c>
      <c r="G50" s="23">
        <f>IF($J50="","",INDEX('例_顧客一覧'!$G$5:$G$104,$J50)&amp;"")</f>
        <v/>
      </c>
      <c r="H50" s="23">
        <f>IF($J50="","",INDEX('例_顧客一覧'!$H$5:$H$104,$J50)&amp;"")</f>
        <v/>
      </c>
      <c r="I50" s="22">
        <f>IF($J50="","",INDEX('例_顧客一覧'!$J$5:$J$104,$J50))</f>
        <v/>
      </c>
      <c r="J50" s="33">
        <f>IFERROR(MATCH(SMALL('例_顧客一覧'!$O$5:$O$104,46),'例_顧客一覧'!$O$5:$O$104,0),"")</f>
        <v/>
      </c>
    </row>
    <row r="51">
      <c r="A51" s="23">
        <f>IF($J51="","",47)</f>
        <v/>
      </c>
      <c r="B51" s="22">
        <f>IF($J51="","",IF(INDEX('例_顧客一覧'!$M$5:$M$104,$J51)="","期日未定",INDEX('例_顧客一覧'!$M$5:$M$104,$J51)))</f>
        <v/>
      </c>
      <c r="C51" s="26">
        <f>IF($J51="","",IF(ISNUMBER($B51),$B51-$B$2,""))</f>
        <v/>
      </c>
      <c r="D51" s="23">
        <f>IF($J51="","",INDEX('例_顧客一覧'!$A$5:$A$104,$J51))</f>
        <v/>
      </c>
      <c r="E51" s="19">
        <f>IF($J51="","",INDEX('例_顧客一覧'!$C$5:$C$104,$J51)&amp;"")</f>
        <v/>
      </c>
      <c r="F51" s="19">
        <f>IF($J51="","",INDEX('例_顧客一覧'!$L$5:$L$104,$J51)&amp;"")</f>
        <v/>
      </c>
      <c r="G51" s="23">
        <f>IF($J51="","",INDEX('例_顧客一覧'!$G$5:$G$104,$J51)&amp;"")</f>
        <v/>
      </c>
      <c r="H51" s="23">
        <f>IF($J51="","",INDEX('例_顧客一覧'!$H$5:$H$104,$J51)&amp;"")</f>
        <v/>
      </c>
      <c r="I51" s="22">
        <f>IF($J51="","",INDEX('例_顧客一覧'!$J$5:$J$104,$J51))</f>
        <v/>
      </c>
      <c r="J51" s="33">
        <f>IFERROR(MATCH(SMALL('例_顧客一覧'!$O$5:$O$104,47),'例_顧客一覧'!$O$5:$O$104,0),"")</f>
        <v/>
      </c>
    </row>
    <row r="52">
      <c r="A52" s="23">
        <f>IF($J52="","",48)</f>
        <v/>
      </c>
      <c r="B52" s="22">
        <f>IF($J52="","",IF(INDEX('例_顧客一覧'!$M$5:$M$104,$J52)="","期日未定",INDEX('例_顧客一覧'!$M$5:$M$104,$J52)))</f>
        <v/>
      </c>
      <c r="C52" s="26">
        <f>IF($J52="","",IF(ISNUMBER($B52),$B52-$B$2,""))</f>
        <v/>
      </c>
      <c r="D52" s="23">
        <f>IF($J52="","",INDEX('例_顧客一覧'!$A$5:$A$104,$J52))</f>
        <v/>
      </c>
      <c r="E52" s="19">
        <f>IF($J52="","",INDEX('例_顧客一覧'!$C$5:$C$104,$J52)&amp;"")</f>
        <v/>
      </c>
      <c r="F52" s="19">
        <f>IF($J52="","",INDEX('例_顧客一覧'!$L$5:$L$104,$J52)&amp;"")</f>
        <v/>
      </c>
      <c r="G52" s="23">
        <f>IF($J52="","",INDEX('例_顧客一覧'!$G$5:$G$104,$J52)&amp;"")</f>
        <v/>
      </c>
      <c r="H52" s="23">
        <f>IF($J52="","",INDEX('例_顧客一覧'!$H$5:$H$104,$J52)&amp;"")</f>
        <v/>
      </c>
      <c r="I52" s="22">
        <f>IF($J52="","",INDEX('例_顧客一覧'!$J$5:$J$104,$J52))</f>
        <v/>
      </c>
      <c r="J52" s="33">
        <f>IFERROR(MATCH(SMALL('例_顧客一覧'!$O$5:$O$104,48),'例_顧客一覧'!$O$5:$O$104,0),"")</f>
        <v/>
      </c>
    </row>
    <row r="53">
      <c r="A53" s="23">
        <f>IF($J53="","",49)</f>
        <v/>
      </c>
      <c r="B53" s="22">
        <f>IF($J53="","",IF(INDEX('例_顧客一覧'!$M$5:$M$104,$J53)="","期日未定",INDEX('例_顧客一覧'!$M$5:$M$104,$J53)))</f>
        <v/>
      </c>
      <c r="C53" s="26">
        <f>IF($J53="","",IF(ISNUMBER($B53),$B53-$B$2,""))</f>
        <v/>
      </c>
      <c r="D53" s="23">
        <f>IF($J53="","",INDEX('例_顧客一覧'!$A$5:$A$104,$J53))</f>
        <v/>
      </c>
      <c r="E53" s="19">
        <f>IF($J53="","",INDEX('例_顧客一覧'!$C$5:$C$104,$J53)&amp;"")</f>
        <v/>
      </c>
      <c r="F53" s="19">
        <f>IF($J53="","",INDEX('例_顧客一覧'!$L$5:$L$104,$J53)&amp;"")</f>
        <v/>
      </c>
      <c r="G53" s="23">
        <f>IF($J53="","",INDEX('例_顧客一覧'!$G$5:$G$104,$J53)&amp;"")</f>
        <v/>
      </c>
      <c r="H53" s="23">
        <f>IF($J53="","",INDEX('例_顧客一覧'!$H$5:$H$104,$J53)&amp;"")</f>
        <v/>
      </c>
      <c r="I53" s="22">
        <f>IF($J53="","",INDEX('例_顧客一覧'!$J$5:$J$104,$J53))</f>
        <v/>
      </c>
      <c r="J53" s="33">
        <f>IFERROR(MATCH(SMALL('例_顧客一覧'!$O$5:$O$104,49),'例_顧客一覧'!$O$5:$O$104,0),"")</f>
        <v/>
      </c>
    </row>
    <row r="54">
      <c r="A54" s="23">
        <f>IF($J54="","",50)</f>
        <v/>
      </c>
      <c r="B54" s="22">
        <f>IF($J54="","",IF(INDEX('例_顧客一覧'!$M$5:$M$104,$J54)="","期日未定",INDEX('例_顧客一覧'!$M$5:$M$104,$J54)))</f>
        <v/>
      </c>
      <c r="C54" s="26">
        <f>IF($J54="","",IF(ISNUMBER($B54),$B54-$B$2,""))</f>
        <v/>
      </c>
      <c r="D54" s="23">
        <f>IF($J54="","",INDEX('例_顧客一覧'!$A$5:$A$104,$J54))</f>
        <v/>
      </c>
      <c r="E54" s="19">
        <f>IF($J54="","",INDEX('例_顧客一覧'!$C$5:$C$104,$J54)&amp;"")</f>
        <v/>
      </c>
      <c r="F54" s="19">
        <f>IF($J54="","",INDEX('例_顧客一覧'!$L$5:$L$104,$J54)&amp;"")</f>
        <v/>
      </c>
      <c r="G54" s="23">
        <f>IF($J54="","",INDEX('例_顧客一覧'!$G$5:$G$104,$J54)&amp;"")</f>
        <v/>
      </c>
      <c r="H54" s="23">
        <f>IF($J54="","",INDEX('例_顧客一覧'!$H$5:$H$104,$J54)&amp;"")</f>
        <v/>
      </c>
      <c r="I54" s="22">
        <f>IF($J54="","",INDEX('例_顧客一覧'!$J$5:$J$104,$J54))</f>
        <v/>
      </c>
      <c r="J54" s="33">
        <f>IFERROR(MATCH(SMALL('例_顧客一覧'!$O$5:$O$104,50),'例_顧客一覧'!$O$5:$O$104,0),"")</f>
        <v/>
      </c>
    </row>
    <row r="55">
      <c r="A55" s="23">
        <f>IF($J55="","",51)</f>
        <v/>
      </c>
      <c r="B55" s="22">
        <f>IF($J55="","",IF(INDEX('例_顧客一覧'!$M$5:$M$104,$J55)="","期日未定",INDEX('例_顧客一覧'!$M$5:$M$104,$J55)))</f>
        <v/>
      </c>
      <c r="C55" s="26">
        <f>IF($J55="","",IF(ISNUMBER($B55),$B55-$B$2,""))</f>
        <v/>
      </c>
      <c r="D55" s="23">
        <f>IF($J55="","",INDEX('例_顧客一覧'!$A$5:$A$104,$J55))</f>
        <v/>
      </c>
      <c r="E55" s="19">
        <f>IF($J55="","",INDEX('例_顧客一覧'!$C$5:$C$104,$J55)&amp;"")</f>
        <v/>
      </c>
      <c r="F55" s="19">
        <f>IF($J55="","",INDEX('例_顧客一覧'!$L$5:$L$104,$J55)&amp;"")</f>
        <v/>
      </c>
      <c r="G55" s="23">
        <f>IF($J55="","",INDEX('例_顧客一覧'!$G$5:$G$104,$J55)&amp;"")</f>
        <v/>
      </c>
      <c r="H55" s="23">
        <f>IF($J55="","",INDEX('例_顧客一覧'!$H$5:$H$104,$J55)&amp;"")</f>
        <v/>
      </c>
      <c r="I55" s="22">
        <f>IF($J55="","",INDEX('例_顧客一覧'!$J$5:$J$104,$J55))</f>
        <v/>
      </c>
      <c r="J55" s="33">
        <f>IFERROR(MATCH(SMALL('例_顧客一覧'!$O$5:$O$104,51),'例_顧客一覧'!$O$5:$O$104,0),"")</f>
        <v/>
      </c>
    </row>
    <row r="56">
      <c r="A56" s="23">
        <f>IF($J56="","",52)</f>
        <v/>
      </c>
      <c r="B56" s="22">
        <f>IF($J56="","",IF(INDEX('例_顧客一覧'!$M$5:$M$104,$J56)="","期日未定",INDEX('例_顧客一覧'!$M$5:$M$104,$J56)))</f>
        <v/>
      </c>
      <c r="C56" s="26">
        <f>IF($J56="","",IF(ISNUMBER($B56),$B56-$B$2,""))</f>
        <v/>
      </c>
      <c r="D56" s="23">
        <f>IF($J56="","",INDEX('例_顧客一覧'!$A$5:$A$104,$J56))</f>
        <v/>
      </c>
      <c r="E56" s="19">
        <f>IF($J56="","",INDEX('例_顧客一覧'!$C$5:$C$104,$J56)&amp;"")</f>
        <v/>
      </c>
      <c r="F56" s="19">
        <f>IF($J56="","",INDEX('例_顧客一覧'!$L$5:$L$104,$J56)&amp;"")</f>
        <v/>
      </c>
      <c r="G56" s="23">
        <f>IF($J56="","",INDEX('例_顧客一覧'!$G$5:$G$104,$J56)&amp;"")</f>
        <v/>
      </c>
      <c r="H56" s="23">
        <f>IF($J56="","",INDEX('例_顧客一覧'!$H$5:$H$104,$J56)&amp;"")</f>
        <v/>
      </c>
      <c r="I56" s="22">
        <f>IF($J56="","",INDEX('例_顧客一覧'!$J$5:$J$104,$J56))</f>
        <v/>
      </c>
      <c r="J56" s="33">
        <f>IFERROR(MATCH(SMALL('例_顧客一覧'!$O$5:$O$104,52),'例_顧客一覧'!$O$5:$O$104,0),"")</f>
        <v/>
      </c>
    </row>
    <row r="57">
      <c r="A57" s="23">
        <f>IF($J57="","",53)</f>
        <v/>
      </c>
      <c r="B57" s="22">
        <f>IF($J57="","",IF(INDEX('例_顧客一覧'!$M$5:$M$104,$J57)="","期日未定",INDEX('例_顧客一覧'!$M$5:$M$104,$J57)))</f>
        <v/>
      </c>
      <c r="C57" s="26">
        <f>IF($J57="","",IF(ISNUMBER($B57),$B57-$B$2,""))</f>
        <v/>
      </c>
      <c r="D57" s="23">
        <f>IF($J57="","",INDEX('例_顧客一覧'!$A$5:$A$104,$J57))</f>
        <v/>
      </c>
      <c r="E57" s="19">
        <f>IF($J57="","",INDEX('例_顧客一覧'!$C$5:$C$104,$J57)&amp;"")</f>
        <v/>
      </c>
      <c r="F57" s="19">
        <f>IF($J57="","",INDEX('例_顧客一覧'!$L$5:$L$104,$J57)&amp;"")</f>
        <v/>
      </c>
      <c r="G57" s="23">
        <f>IF($J57="","",INDEX('例_顧客一覧'!$G$5:$G$104,$J57)&amp;"")</f>
        <v/>
      </c>
      <c r="H57" s="23">
        <f>IF($J57="","",INDEX('例_顧客一覧'!$H$5:$H$104,$J57)&amp;"")</f>
        <v/>
      </c>
      <c r="I57" s="22">
        <f>IF($J57="","",INDEX('例_顧客一覧'!$J$5:$J$104,$J57))</f>
        <v/>
      </c>
      <c r="J57" s="33">
        <f>IFERROR(MATCH(SMALL('例_顧客一覧'!$O$5:$O$104,53),'例_顧客一覧'!$O$5:$O$104,0),"")</f>
        <v/>
      </c>
    </row>
    <row r="58">
      <c r="A58" s="23">
        <f>IF($J58="","",54)</f>
        <v/>
      </c>
      <c r="B58" s="22">
        <f>IF($J58="","",IF(INDEX('例_顧客一覧'!$M$5:$M$104,$J58)="","期日未定",INDEX('例_顧客一覧'!$M$5:$M$104,$J58)))</f>
        <v/>
      </c>
      <c r="C58" s="26">
        <f>IF($J58="","",IF(ISNUMBER($B58),$B58-$B$2,""))</f>
        <v/>
      </c>
      <c r="D58" s="23">
        <f>IF($J58="","",INDEX('例_顧客一覧'!$A$5:$A$104,$J58))</f>
        <v/>
      </c>
      <c r="E58" s="19">
        <f>IF($J58="","",INDEX('例_顧客一覧'!$C$5:$C$104,$J58)&amp;"")</f>
        <v/>
      </c>
      <c r="F58" s="19">
        <f>IF($J58="","",INDEX('例_顧客一覧'!$L$5:$L$104,$J58)&amp;"")</f>
        <v/>
      </c>
      <c r="G58" s="23">
        <f>IF($J58="","",INDEX('例_顧客一覧'!$G$5:$G$104,$J58)&amp;"")</f>
        <v/>
      </c>
      <c r="H58" s="23">
        <f>IF($J58="","",INDEX('例_顧客一覧'!$H$5:$H$104,$J58)&amp;"")</f>
        <v/>
      </c>
      <c r="I58" s="22">
        <f>IF($J58="","",INDEX('例_顧客一覧'!$J$5:$J$104,$J58))</f>
        <v/>
      </c>
      <c r="J58" s="33">
        <f>IFERROR(MATCH(SMALL('例_顧客一覧'!$O$5:$O$104,54),'例_顧客一覧'!$O$5:$O$104,0),"")</f>
        <v/>
      </c>
    </row>
    <row r="59">
      <c r="A59" s="23">
        <f>IF($J59="","",55)</f>
        <v/>
      </c>
      <c r="B59" s="22">
        <f>IF($J59="","",IF(INDEX('例_顧客一覧'!$M$5:$M$104,$J59)="","期日未定",INDEX('例_顧客一覧'!$M$5:$M$104,$J59)))</f>
        <v/>
      </c>
      <c r="C59" s="26">
        <f>IF($J59="","",IF(ISNUMBER($B59),$B59-$B$2,""))</f>
        <v/>
      </c>
      <c r="D59" s="23">
        <f>IF($J59="","",INDEX('例_顧客一覧'!$A$5:$A$104,$J59))</f>
        <v/>
      </c>
      <c r="E59" s="19">
        <f>IF($J59="","",INDEX('例_顧客一覧'!$C$5:$C$104,$J59)&amp;"")</f>
        <v/>
      </c>
      <c r="F59" s="19">
        <f>IF($J59="","",INDEX('例_顧客一覧'!$L$5:$L$104,$J59)&amp;"")</f>
        <v/>
      </c>
      <c r="G59" s="23">
        <f>IF($J59="","",INDEX('例_顧客一覧'!$G$5:$G$104,$J59)&amp;"")</f>
        <v/>
      </c>
      <c r="H59" s="23">
        <f>IF($J59="","",INDEX('例_顧客一覧'!$H$5:$H$104,$J59)&amp;"")</f>
        <v/>
      </c>
      <c r="I59" s="22">
        <f>IF($J59="","",INDEX('例_顧客一覧'!$J$5:$J$104,$J59))</f>
        <v/>
      </c>
      <c r="J59" s="33">
        <f>IFERROR(MATCH(SMALL('例_顧客一覧'!$O$5:$O$104,55),'例_顧客一覧'!$O$5:$O$104,0),"")</f>
        <v/>
      </c>
    </row>
    <row r="60">
      <c r="A60" s="23">
        <f>IF($J60="","",56)</f>
        <v/>
      </c>
      <c r="B60" s="22">
        <f>IF($J60="","",IF(INDEX('例_顧客一覧'!$M$5:$M$104,$J60)="","期日未定",INDEX('例_顧客一覧'!$M$5:$M$104,$J60)))</f>
        <v/>
      </c>
      <c r="C60" s="26">
        <f>IF($J60="","",IF(ISNUMBER($B60),$B60-$B$2,""))</f>
        <v/>
      </c>
      <c r="D60" s="23">
        <f>IF($J60="","",INDEX('例_顧客一覧'!$A$5:$A$104,$J60))</f>
        <v/>
      </c>
      <c r="E60" s="19">
        <f>IF($J60="","",INDEX('例_顧客一覧'!$C$5:$C$104,$J60)&amp;"")</f>
        <v/>
      </c>
      <c r="F60" s="19">
        <f>IF($J60="","",INDEX('例_顧客一覧'!$L$5:$L$104,$J60)&amp;"")</f>
        <v/>
      </c>
      <c r="G60" s="23">
        <f>IF($J60="","",INDEX('例_顧客一覧'!$G$5:$G$104,$J60)&amp;"")</f>
        <v/>
      </c>
      <c r="H60" s="23">
        <f>IF($J60="","",INDEX('例_顧客一覧'!$H$5:$H$104,$J60)&amp;"")</f>
        <v/>
      </c>
      <c r="I60" s="22">
        <f>IF($J60="","",INDEX('例_顧客一覧'!$J$5:$J$104,$J60))</f>
        <v/>
      </c>
      <c r="J60" s="33">
        <f>IFERROR(MATCH(SMALL('例_顧客一覧'!$O$5:$O$104,56),'例_顧客一覧'!$O$5:$O$104,0),"")</f>
        <v/>
      </c>
    </row>
    <row r="61">
      <c r="A61" s="23">
        <f>IF($J61="","",57)</f>
        <v/>
      </c>
      <c r="B61" s="22">
        <f>IF($J61="","",IF(INDEX('例_顧客一覧'!$M$5:$M$104,$J61)="","期日未定",INDEX('例_顧客一覧'!$M$5:$M$104,$J61)))</f>
        <v/>
      </c>
      <c r="C61" s="26">
        <f>IF($J61="","",IF(ISNUMBER($B61),$B61-$B$2,""))</f>
        <v/>
      </c>
      <c r="D61" s="23">
        <f>IF($J61="","",INDEX('例_顧客一覧'!$A$5:$A$104,$J61))</f>
        <v/>
      </c>
      <c r="E61" s="19">
        <f>IF($J61="","",INDEX('例_顧客一覧'!$C$5:$C$104,$J61)&amp;"")</f>
        <v/>
      </c>
      <c r="F61" s="19">
        <f>IF($J61="","",INDEX('例_顧客一覧'!$L$5:$L$104,$J61)&amp;"")</f>
        <v/>
      </c>
      <c r="G61" s="23">
        <f>IF($J61="","",INDEX('例_顧客一覧'!$G$5:$G$104,$J61)&amp;"")</f>
        <v/>
      </c>
      <c r="H61" s="23">
        <f>IF($J61="","",INDEX('例_顧客一覧'!$H$5:$H$104,$J61)&amp;"")</f>
        <v/>
      </c>
      <c r="I61" s="22">
        <f>IF($J61="","",INDEX('例_顧客一覧'!$J$5:$J$104,$J61))</f>
        <v/>
      </c>
      <c r="J61" s="33">
        <f>IFERROR(MATCH(SMALL('例_顧客一覧'!$O$5:$O$104,57),'例_顧客一覧'!$O$5:$O$104,0),"")</f>
        <v/>
      </c>
    </row>
    <row r="62">
      <c r="A62" s="23">
        <f>IF($J62="","",58)</f>
        <v/>
      </c>
      <c r="B62" s="22">
        <f>IF($J62="","",IF(INDEX('例_顧客一覧'!$M$5:$M$104,$J62)="","期日未定",INDEX('例_顧客一覧'!$M$5:$M$104,$J62)))</f>
        <v/>
      </c>
      <c r="C62" s="26">
        <f>IF($J62="","",IF(ISNUMBER($B62),$B62-$B$2,""))</f>
        <v/>
      </c>
      <c r="D62" s="23">
        <f>IF($J62="","",INDEX('例_顧客一覧'!$A$5:$A$104,$J62))</f>
        <v/>
      </c>
      <c r="E62" s="19">
        <f>IF($J62="","",INDEX('例_顧客一覧'!$C$5:$C$104,$J62)&amp;"")</f>
        <v/>
      </c>
      <c r="F62" s="19">
        <f>IF($J62="","",INDEX('例_顧客一覧'!$L$5:$L$104,$J62)&amp;"")</f>
        <v/>
      </c>
      <c r="G62" s="23">
        <f>IF($J62="","",INDEX('例_顧客一覧'!$G$5:$G$104,$J62)&amp;"")</f>
        <v/>
      </c>
      <c r="H62" s="23">
        <f>IF($J62="","",INDEX('例_顧客一覧'!$H$5:$H$104,$J62)&amp;"")</f>
        <v/>
      </c>
      <c r="I62" s="22">
        <f>IF($J62="","",INDEX('例_顧客一覧'!$J$5:$J$104,$J62))</f>
        <v/>
      </c>
      <c r="J62" s="33">
        <f>IFERROR(MATCH(SMALL('例_顧客一覧'!$O$5:$O$104,58),'例_顧客一覧'!$O$5:$O$104,0),"")</f>
        <v/>
      </c>
    </row>
    <row r="63">
      <c r="A63" s="23">
        <f>IF($J63="","",59)</f>
        <v/>
      </c>
      <c r="B63" s="22">
        <f>IF($J63="","",IF(INDEX('例_顧客一覧'!$M$5:$M$104,$J63)="","期日未定",INDEX('例_顧客一覧'!$M$5:$M$104,$J63)))</f>
        <v/>
      </c>
      <c r="C63" s="26">
        <f>IF($J63="","",IF(ISNUMBER($B63),$B63-$B$2,""))</f>
        <v/>
      </c>
      <c r="D63" s="23">
        <f>IF($J63="","",INDEX('例_顧客一覧'!$A$5:$A$104,$J63))</f>
        <v/>
      </c>
      <c r="E63" s="19">
        <f>IF($J63="","",INDEX('例_顧客一覧'!$C$5:$C$104,$J63)&amp;"")</f>
        <v/>
      </c>
      <c r="F63" s="19">
        <f>IF($J63="","",INDEX('例_顧客一覧'!$L$5:$L$104,$J63)&amp;"")</f>
        <v/>
      </c>
      <c r="G63" s="23">
        <f>IF($J63="","",INDEX('例_顧客一覧'!$G$5:$G$104,$J63)&amp;"")</f>
        <v/>
      </c>
      <c r="H63" s="23">
        <f>IF($J63="","",INDEX('例_顧客一覧'!$H$5:$H$104,$J63)&amp;"")</f>
        <v/>
      </c>
      <c r="I63" s="22">
        <f>IF($J63="","",INDEX('例_顧客一覧'!$J$5:$J$104,$J63))</f>
        <v/>
      </c>
      <c r="J63" s="33">
        <f>IFERROR(MATCH(SMALL('例_顧客一覧'!$O$5:$O$104,59),'例_顧客一覧'!$O$5:$O$104,0),"")</f>
        <v/>
      </c>
    </row>
    <row r="64">
      <c r="A64" s="23">
        <f>IF($J64="","",60)</f>
        <v/>
      </c>
      <c r="B64" s="22">
        <f>IF($J64="","",IF(INDEX('例_顧客一覧'!$M$5:$M$104,$J64)="","期日未定",INDEX('例_顧客一覧'!$M$5:$M$104,$J64)))</f>
        <v/>
      </c>
      <c r="C64" s="26">
        <f>IF($J64="","",IF(ISNUMBER($B64),$B64-$B$2,""))</f>
        <v/>
      </c>
      <c r="D64" s="23">
        <f>IF($J64="","",INDEX('例_顧客一覧'!$A$5:$A$104,$J64))</f>
        <v/>
      </c>
      <c r="E64" s="19">
        <f>IF($J64="","",INDEX('例_顧客一覧'!$C$5:$C$104,$J64)&amp;"")</f>
        <v/>
      </c>
      <c r="F64" s="19">
        <f>IF($J64="","",INDEX('例_顧客一覧'!$L$5:$L$104,$J64)&amp;"")</f>
        <v/>
      </c>
      <c r="G64" s="23">
        <f>IF($J64="","",INDEX('例_顧客一覧'!$G$5:$G$104,$J64)&amp;"")</f>
        <v/>
      </c>
      <c r="H64" s="23">
        <f>IF($J64="","",INDEX('例_顧客一覧'!$H$5:$H$104,$J64)&amp;"")</f>
        <v/>
      </c>
      <c r="I64" s="22">
        <f>IF($J64="","",INDEX('例_顧客一覧'!$J$5:$J$104,$J64))</f>
        <v/>
      </c>
      <c r="J64" s="33">
        <f>IFERROR(MATCH(SMALL('例_顧客一覧'!$O$5:$O$104,60),'例_顧客一覧'!$O$5:$O$104,0),"")</f>
        <v/>
      </c>
    </row>
    <row r="65">
      <c r="A65" s="23">
        <f>IF($J65="","",61)</f>
        <v/>
      </c>
      <c r="B65" s="22">
        <f>IF($J65="","",IF(INDEX('例_顧客一覧'!$M$5:$M$104,$J65)="","期日未定",INDEX('例_顧客一覧'!$M$5:$M$104,$J65)))</f>
        <v/>
      </c>
      <c r="C65" s="26">
        <f>IF($J65="","",IF(ISNUMBER($B65),$B65-$B$2,""))</f>
        <v/>
      </c>
      <c r="D65" s="23">
        <f>IF($J65="","",INDEX('例_顧客一覧'!$A$5:$A$104,$J65))</f>
        <v/>
      </c>
      <c r="E65" s="19">
        <f>IF($J65="","",INDEX('例_顧客一覧'!$C$5:$C$104,$J65)&amp;"")</f>
        <v/>
      </c>
      <c r="F65" s="19">
        <f>IF($J65="","",INDEX('例_顧客一覧'!$L$5:$L$104,$J65)&amp;"")</f>
        <v/>
      </c>
      <c r="G65" s="23">
        <f>IF($J65="","",INDEX('例_顧客一覧'!$G$5:$G$104,$J65)&amp;"")</f>
        <v/>
      </c>
      <c r="H65" s="23">
        <f>IF($J65="","",INDEX('例_顧客一覧'!$H$5:$H$104,$J65)&amp;"")</f>
        <v/>
      </c>
      <c r="I65" s="22">
        <f>IF($J65="","",INDEX('例_顧客一覧'!$J$5:$J$104,$J65))</f>
        <v/>
      </c>
      <c r="J65" s="33">
        <f>IFERROR(MATCH(SMALL('例_顧客一覧'!$O$5:$O$104,61),'例_顧客一覧'!$O$5:$O$104,0),"")</f>
        <v/>
      </c>
    </row>
    <row r="66">
      <c r="A66" s="23">
        <f>IF($J66="","",62)</f>
        <v/>
      </c>
      <c r="B66" s="22">
        <f>IF($J66="","",IF(INDEX('例_顧客一覧'!$M$5:$M$104,$J66)="","期日未定",INDEX('例_顧客一覧'!$M$5:$M$104,$J66)))</f>
        <v/>
      </c>
      <c r="C66" s="26">
        <f>IF($J66="","",IF(ISNUMBER($B66),$B66-$B$2,""))</f>
        <v/>
      </c>
      <c r="D66" s="23">
        <f>IF($J66="","",INDEX('例_顧客一覧'!$A$5:$A$104,$J66))</f>
        <v/>
      </c>
      <c r="E66" s="19">
        <f>IF($J66="","",INDEX('例_顧客一覧'!$C$5:$C$104,$J66)&amp;"")</f>
        <v/>
      </c>
      <c r="F66" s="19">
        <f>IF($J66="","",INDEX('例_顧客一覧'!$L$5:$L$104,$J66)&amp;"")</f>
        <v/>
      </c>
      <c r="G66" s="23">
        <f>IF($J66="","",INDEX('例_顧客一覧'!$G$5:$G$104,$J66)&amp;"")</f>
        <v/>
      </c>
      <c r="H66" s="23">
        <f>IF($J66="","",INDEX('例_顧客一覧'!$H$5:$H$104,$J66)&amp;"")</f>
        <v/>
      </c>
      <c r="I66" s="22">
        <f>IF($J66="","",INDEX('例_顧客一覧'!$J$5:$J$104,$J66))</f>
        <v/>
      </c>
      <c r="J66" s="33">
        <f>IFERROR(MATCH(SMALL('例_顧客一覧'!$O$5:$O$104,62),'例_顧客一覧'!$O$5:$O$104,0),"")</f>
        <v/>
      </c>
    </row>
    <row r="67">
      <c r="A67" s="23">
        <f>IF($J67="","",63)</f>
        <v/>
      </c>
      <c r="B67" s="22">
        <f>IF($J67="","",IF(INDEX('例_顧客一覧'!$M$5:$M$104,$J67)="","期日未定",INDEX('例_顧客一覧'!$M$5:$M$104,$J67)))</f>
        <v/>
      </c>
      <c r="C67" s="26">
        <f>IF($J67="","",IF(ISNUMBER($B67),$B67-$B$2,""))</f>
        <v/>
      </c>
      <c r="D67" s="23">
        <f>IF($J67="","",INDEX('例_顧客一覧'!$A$5:$A$104,$J67))</f>
        <v/>
      </c>
      <c r="E67" s="19">
        <f>IF($J67="","",INDEX('例_顧客一覧'!$C$5:$C$104,$J67)&amp;"")</f>
        <v/>
      </c>
      <c r="F67" s="19">
        <f>IF($J67="","",INDEX('例_顧客一覧'!$L$5:$L$104,$J67)&amp;"")</f>
        <v/>
      </c>
      <c r="G67" s="23">
        <f>IF($J67="","",INDEX('例_顧客一覧'!$G$5:$G$104,$J67)&amp;"")</f>
        <v/>
      </c>
      <c r="H67" s="23">
        <f>IF($J67="","",INDEX('例_顧客一覧'!$H$5:$H$104,$J67)&amp;"")</f>
        <v/>
      </c>
      <c r="I67" s="22">
        <f>IF($J67="","",INDEX('例_顧客一覧'!$J$5:$J$104,$J67))</f>
        <v/>
      </c>
      <c r="J67" s="33">
        <f>IFERROR(MATCH(SMALL('例_顧客一覧'!$O$5:$O$104,63),'例_顧客一覧'!$O$5:$O$104,0),"")</f>
        <v/>
      </c>
    </row>
    <row r="68">
      <c r="A68" s="23">
        <f>IF($J68="","",64)</f>
        <v/>
      </c>
      <c r="B68" s="22">
        <f>IF($J68="","",IF(INDEX('例_顧客一覧'!$M$5:$M$104,$J68)="","期日未定",INDEX('例_顧客一覧'!$M$5:$M$104,$J68)))</f>
        <v/>
      </c>
      <c r="C68" s="26">
        <f>IF($J68="","",IF(ISNUMBER($B68),$B68-$B$2,""))</f>
        <v/>
      </c>
      <c r="D68" s="23">
        <f>IF($J68="","",INDEX('例_顧客一覧'!$A$5:$A$104,$J68))</f>
        <v/>
      </c>
      <c r="E68" s="19">
        <f>IF($J68="","",INDEX('例_顧客一覧'!$C$5:$C$104,$J68)&amp;"")</f>
        <v/>
      </c>
      <c r="F68" s="19">
        <f>IF($J68="","",INDEX('例_顧客一覧'!$L$5:$L$104,$J68)&amp;"")</f>
        <v/>
      </c>
      <c r="G68" s="23">
        <f>IF($J68="","",INDEX('例_顧客一覧'!$G$5:$G$104,$J68)&amp;"")</f>
        <v/>
      </c>
      <c r="H68" s="23">
        <f>IF($J68="","",INDEX('例_顧客一覧'!$H$5:$H$104,$J68)&amp;"")</f>
        <v/>
      </c>
      <c r="I68" s="22">
        <f>IF($J68="","",INDEX('例_顧客一覧'!$J$5:$J$104,$J68))</f>
        <v/>
      </c>
      <c r="J68" s="33">
        <f>IFERROR(MATCH(SMALL('例_顧客一覧'!$O$5:$O$104,64),'例_顧客一覧'!$O$5:$O$104,0),"")</f>
        <v/>
      </c>
    </row>
    <row r="69">
      <c r="A69" s="23">
        <f>IF($J69="","",65)</f>
        <v/>
      </c>
      <c r="B69" s="22">
        <f>IF($J69="","",IF(INDEX('例_顧客一覧'!$M$5:$M$104,$J69)="","期日未定",INDEX('例_顧客一覧'!$M$5:$M$104,$J69)))</f>
        <v/>
      </c>
      <c r="C69" s="26">
        <f>IF($J69="","",IF(ISNUMBER($B69),$B69-$B$2,""))</f>
        <v/>
      </c>
      <c r="D69" s="23">
        <f>IF($J69="","",INDEX('例_顧客一覧'!$A$5:$A$104,$J69))</f>
        <v/>
      </c>
      <c r="E69" s="19">
        <f>IF($J69="","",INDEX('例_顧客一覧'!$C$5:$C$104,$J69)&amp;"")</f>
        <v/>
      </c>
      <c r="F69" s="19">
        <f>IF($J69="","",INDEX('例_顧客一覧'!$L$5:$L$104,$J69)&amp;"")</f>
        <v/>
      </c>
      <c r="G69" s="23">
        <f>IF($J69="","",INDEX('例_顧客一覧'!$G$5:$G$104,$J69)&amp;"")</f>
        <v/>
      </c>
      <c r="H69" s="23">
        <f>IF($J69="","",INDEX('例_顧客一覧'!$H$5:$H$104,$J69)&amp;"")</f>
        <v/>
      </c>
      <c r="I69" s="22">
        <f>IF($J69="","",INDEX('例_顧客一覧'!$J$5:$J$104,$J69))</f>
        <v/>
      </c>
      <c r="J69" s="33">
        <f>IFERROR(MATCH(SMALL('例_顧客一覧'!$O$5:$O$104,65),'例_顧客一覧'!$O$5:$O$104,0),"")</f>
        <v/>
      </c>
    </row>
    <row r="70">
      <c r="A70" s="23">
        <f>IF($J70="","",66)</f>
        <v/>
      </c>
      <c r="B70" s="22">
        <f>IF($J70="","",IF(INDEX('例_顧客一覧'!$M$5:$M$104,$J70)="","期日未定",INDEX('例_顧客一覧'!$M$5:$M$104,$J70)))</f>
        <v/>
      </c>
      <c r="C70" s="26">
        <f>IF($J70="","",IF(ISNUMBER($B70),$B70-$B$2,""))</f>
        <v/>
      </c>
      <c r="D70" s="23">
        <f>IF($J70="","",INDEX('例_顧客一覧'!$A$5:$A$104,$J70))</f>
        <v/>
      </c>
      <c r="E70" s="19">
        <f>IF($J70="","",INDEX('例_顧客一覧'!$C$5:$C$104,$J70)&amp;"")</f>
        <v/>
      </c>
      <c r="F70" s="19">
        <f>IF($J70="","",INDEX('例_顧客一覧'!$L$5:$L$104,$J70)&amp;"")</f>
        <v/>
      </c>
      <c r="G70" s="23">
        <f>IF($J70="","",INDEX('例_顧客一覧'!$G$5:$G$104,$J70)&amp;"")</f>
        <v/>
      </c>
      <c r="H70" s="23">
        <f>IF($J70="","",INDEX('例_顧客一覧'!$H$5:$H$104,$J70)&amp;"")</f>
        <v/>
      </c>
      <c r="I70" s="22">
        <f>IF($J70="","",INDEX('例_顧客一覧'!$J$5:$J$104,$J70))</f>
        <v/>
      </c>
      <c r="J70" s="33">
        <f>IFERROR(MATCH(SMALL('例_顧客一覧'!$O$5:$O$104,66),'例_顧客一覧'!$O$5:$O$104,0),"")</f>
        <v/>
      </c>
    </row>
    <row r="71">
      <c r="A71" s="23">
        <f>IF($J71="","",67)</f>
        <v/>
      </c>
      <c r="B71" s="22">
        <f>IF($J71="","",IF(INDEX('例_顧客一覧'!$M$5:$M$104,$J71)="","期日未定",INDEX('例_顧客一覧'!$M$5:$M$104,$J71)))</f>
        <v/>
      </c>
      <c r="C71" s="26">
        <f>IF($J71="","",IF(ISNUMBER($B71),$B71-$B$2,""))</f>
        <v/>
      </c>
      <c r="D71" s="23">
        <f>IF($J71="","",INDEX('例_顧客一覧'!$A$5:$A$104,$J71))</f>
        <v/>
      </c>
      <c r="E71" s="19">
        <f>IF($J71="","",INDEX('例_顧客一覧'!$C$5:$C$104,$J71)&amp;"")</f>
        <v/>
      </c>
      <c r="F71" s="19">
        <f>IF($J71="","",INDEX('例_顧客一覧'!$L$5:$L$104,$J71)&amp;"")</f>
        <v/>
      </c>
      <c r="G71" s="23">
        <f>IF($J71="","",INDEX('例_顧客一覧'!$G$5:$G$104,$J71)&amp;"")</f>
        <v/>
      </c>
      <c r="H71" s="23">
        <f>IF($J71="","",INDEX('例_顧客一覧'!$H$5:$H$104,$J71)&amp;"")</f>
        <v/>
      </c>
      <c r="I71" s="22">
        <f>IF($J71="","",INDEX('例_顧客一覧'!$J$5:$J$104,$J71))</f>
        <v/>
      </c>
      <c r="J71" s="33">
        <f>IFERROR(MATCH(SMALL('例_顧客一覧'!$O$5:$O$104,67),'例_顧客一覧'!$O$5:$O$104,0),"")</f>
        <v/>
      </c>
    </row>
    <row r="72">
      <c r="A72" s="23">
        <f>IF($J72="","",68)</f>
        <v/>
      </c>
      <c r="B72" s="22">
        <f>IF($J72="","",IF(INDEX('例_顧客一覧'!$M$5:$M$104,$J72)="","期日未定",INDEX('例_顧客一覧'!$M$5:$M$104,$J72)))</f>
        <v/>
      </c>
      <c r="C72" s="26">
        <f>IF($J72="","",IF(ISNUMBER($B72),$B72-$B$2,""))</f>
        <v/>
      </c>
      <c r="D72" s="23">
        <f>IF($J72="","",INDEX('例_顧客一覧'!$A$5:$A$104,$J72))</f>
        <v/>
      </c>
      <c r="E72" s="19">
        <f>IF($J72="","",INDEX('例_顧客一覧'!$C$5:$C$104,$J72)&amp;"")</f>
        <v/>
      </c>
      <c r="F72" s="19">
        <f>IF($J72="","",INDEX('例_顧客一覧'!$L$5:$L$104,$J72)&amp;"")</f>
        <v/>
      </c>
      <c r="G72" s="23">
        <f>IF($J72="","",INDEX('例_顧客一覧'!$G$5:$G$104,$J72)&amp;"")</f>
        <v/>
      </c>
      <c r="H72" s="23">
        <f>IF($J72="","",INDEX('例_顧客一覧'!$H$5:$H$104,$J72)&amp;"")</f>
        <v/>
      </c>
      <c r="I72" s="22">
        <f>IF($J72="","",INDEX('例_顧客一覧'!$J$5:$J$104,$J72))</f>
        <v/>
      </c>
      <c r="J72" s="33">
        <f>IFERROR(MATCH(SMALL('例_顧客一覧'!$O$5:$O$104,68),'例_顧客一覧'!$O$5:$O$104,0),"")</f>
        <v/>
      </c>
    </row>
    <row r="73">
      <c r="A73" s="23">
        <f>IF($J73="","",69)</f>
        <v/>
      </c>
      <c r="B73" s="22">
        <f>IF($J73="","",IF(INDEX('例_顧客一覧'!$M$5:$M$104,$J73)="","期日未定",INDEX('例_顧客一覧'!$M$5:$M$104,$J73)))</f>
        <v/>
      </c>
      <c r="C73" s="26">
        <f>IF($J73="","",IF(ISNUMBER($B73),$B73-$B$2,""))</f>
        <v/>
      </c>
      <c r="D73" s="23">
        <f>IF($J73="","",INDEX('例_顧客一覧'!$A$5:$A$104,$J73))</f>
        <v/>
      </c>
      <c r="E73" s="19">
        <f>IF($J73="","",INDEX('例_顧客一覧'!$C$5:$C$104,$J73)&amp;"")</f>
        <v/>
      </c>
      <c r="F73" s="19">
        <f>IF($J73="","",INDEX('例_顧客一覧'!$L$5:$L$104,$J73)&amp;"")</f>
        <v/>
      </c>
      <c r="G73" s="23">
        <f>IF($J73="","",INDEX('例_顧客一覧'!$G$5:$G$104,$J73)&amp;"")</f>
        <v/>
      </c>
      <c r="H73" s="23">
        <f>IF($J73="","",INDEX('例_顧客一覧'!$H$5:$H$104,$J73)&amp;"")</f>
        <v/>
      </c>
      <c r="I73" s="22">
        <f>IF($J73="","",INDEX('例_顧客一覧'!$J$5:$J$104,$J73))</f>
        <v/>
      </c>
      <c r="J73" s="33">
        <f>IFERROR(MATCH(SMALL('例_顧客一覧'!$O$5:$O$104,69),'例_顧客一覧'!$O$5:$O$104,0),"")</f>
        <v/>
      </c>
    </row>
    <row r="74">
      <c r="A74" s="23">
        <f>IF($J74="","",70)</f>
        <v/>
      </c>
      <c r="B74" s="22">
        <f>IF($J74="","",IF(INDEX('例_顧客一覧'!$M$5:$M$104,$J74)="","期日未定",INDEX('例_顧客一覧'!$M$5:$M$104,$J74)))</f>
        <v/>
      </c>
      <c r="C74" s="26">
        <f>IF($J74="","",IF(ISNUMBER($B74),$B74-$B$2,""))</f>
        <v/>
      </c>
      <c r="D74" s="23">
        <f>IF($J74="","",INDEX('例_顧客一覧'!$A$5:$A$104,$J74))</f>
        <v/>
      </c>
      <c r="E74" s="19">
        <f>IF($J74="","",INDEX('例_顧客一覧'!$C$5:$C$104,$J74)&amp;"")</f>
        <v/>
      </c>
      <c r="F74" s="19">
        <f>IF($J74="","",INDEX('例_顧客一覧'!$L$5:$L$104,$J74)&amp;"")</f>
        <v/>
      </c>
      <c r="G74" s="23">
        <f>IF($J74="","",INDEX('例_顧客一覧'!$G$5:$G$104,$J74)&amp;"")</f>
        <v/>
      </c>
      <c r="H74" s="23">
        <f>IF($J74="","",INDEX('例_顧客一覧'!$H$5:$H$104,$J74)&amp;"")</f>
        <v/>
      </c>
      <c r="I74" s="22">
        <f>IF($J74="","",INDEX('例_顧客一覧'!$J$5:$J$104,$J74))</f>
        <v/>
      </c>
      <c r="J74" s="33">
        <f>IFERROR(MATCH(SMALL('例_顧客一覧'!$O$5:$O$104,70),'例_顧客一覧'!$O$5:$O$104,0),"")</f>
        <v/>
      </c>
    </row>
    <row r="75">
      <c r="A75" s="23">
        <f>IF($J75="","",71)</f>
        <v/>
      </c>
      <c r="B75" s="22">
        <f>IF($J75="","",IF(INDEX('例_顧客一覧'!$M$5:$M$104,$J75)="","期日未定",INDEX('例_顧客一覧'!$M$5:$M$104,$J75)))</f>
        <v/>
      </c>
      <c r="C75" s="26">
        <f>IF($J75="","",IF(ISNUMBER($B75),$B75-$B$2,""))</f>
        <v/>
      </c>
      <c r="D75" s="23">
        <f>IF($J75="","",INDEX('例_顧客一覧'!$A$5:$A$104,$J75))</f>
        <v/>
      </c>
      <c r="E75" s="19">
        <f>IF($J75="","",INDEX('例_顧客一覧'!$C$5:$C$104,$J75)&amp;"")</f>
        <v/>
      </c>
      <c r="F75" s="19">
        <f>IF($J75="","",INDEX('例_顧客一覧'!$L$5:$L$104,$J75)&amp;"")</f>
        <v/>
      </c>
      <c r="G75" s="23">
        <f>IF($J75="","",INDEX('例_顧客一覧'!$G$5:$G$104,$J75)&amp;"")</f>
        <v/>
      </c>
      <c r="H75" s="23">
        <f>IF($J75="","",INDEX('例_顧客一覧'!$H$5:$H$104,$J75)&amp;"")</f>
        <v/>
      </c>
      <c r="I75" s="22">
        <f>IF($J75="","",INDEX('例_顧客一覧'!$J$5:$J$104,$J75))</f>
        <v/>
      </c>
      <c r="J75" s="33">
        <f>IFERROR(MATCH(SMALL('例_顧客一覧'!$O$5:$O$104,71),'例_顧客一覧'!$O$5:$O$104,0),"")</f>
        <v/>
      </c>
    </row>
    <row r="76">
      <c r="A76" s="23">
        <f>IF($J76="","",72)</f>
        <v/>
      </c>
      <c r="B76" s="22">
        <f>IF($J76="","",IF(INDEX('例_顧客一覧'!$M$5:$M$104,$J76)="","期日未定",INDEX('例_顧客一覧'!$M$5:$M$104,$J76)))</f>
        <v/>
      </c>
      <c r="C76" s="26">
        <f>IF($J76="","",IF(ISNUMBER($B76),$B76-$B$2,""))</f>
        <v/>
      </c>
      <c r="D76" s="23">
        <f>IF($J76="","",INDEX('例_顧客一覧'!$A$5:$A$104,$J76))</f>
        <v/>
      </c>
      <c r="E76" s="19">
        <f>IF($J76="","",INDEX('例_顧客一覧'!$C$5:$C$104,$J76)&amp;"")</f>
        <v/>
      </c>
      <c r="F76" s="19">
        <f>IF($J76="","",INDEX('例_顧客一覧'!$L$5:$L$104,$J76)&amp;"")</f>
        <v/>
      </c>
      <c r="G76" s="23">
        <f>IF($J76="","",INDEX('例_顧客一覧'!$G$5:$G$104,$J76)&amp;"")</f>
        <v/>
      </c>
      <c r="H76" s="23">
        <f>IF($J76="","",INDEX('例_顧客一覧'!$H$5:$H$104,$J76)&amp;"")</f>
        <v/>
      </c>
      <c r="I76" s="22">
        <f>IF($J76="","",INDEX('例_顧客一覧'!$J$5:$J$104,$J76))</f>
        <v/>
      </c>
      <c r="J76" s="33">
        <f>IFERROR(MATCH(SMALL('例_顧客一覧'!$O$5:$O$104,72),'例_顧客一覧'!$O$5:$O$104,0),"")</f>
        <v/>
      </c>
    </row>
    <row r="77">
      <c r="A77" s="23">
        <f>IF($J77="","",73)</f>
        <v/>
      </c>
      <c r="B77" s="22">
        <f>IF($J77="","",IF(INDEX('例_顧客一覧'!$M$5:$M$104,$J77)="","期日未定",INDEX('例_顧客一覧'!$M$5:$M$104,$J77)))</f>
        <v/>
      </c>
      <c r="C77" s="26">
        <f>IF($J77="","",IF(ISNUMBER($B77),$B77-$B$2,""))</f>
        <v/>
      </c>
      <c r="D77" s="23">
        <f>IF($J77="","",INDEX('例_顧客一覧'!$A$5:$A$104,$J77))</f>
        <v/>
      </c>
      <c r="E77" s="19">
        <f>IF($J77="","",INDEX('例_顧客一覧'!$C$5:$C$104,$J77)&amp;"")</f>
        <v/>
      </c>
      <c r="F77" s="19">
        <f>IF($J77="","",INDEX('例_顧客一覧'!$L$5:$L$104,$J77)&amp;"")</f>
        <v/>
      </c>
      <c r="G77" s="23">
        <f>IF($J77="","",INDEX('例_顧客一覧'!$G$5:$G$104,$J77)&amp;"")</f>
        <v/>
      </c>
      <c r="H77" s="23">
        <f>IF($J77="","",INDEX('例_顧客一覧'!$H$5:$H$104,$J77)&amp;"")</f>
        <v/>
      </c>
      <c r="I77" s="22">
        <f>IF($J77="","",INDEX('例_顧客一覧'!$J$5:$J$104,$J77))</f>
        <v/>
      </c>
      <c r="J77" s="33">
        <f>IFERROR(MATCH(SMALL('例_顧客一覧'!$O$5:$O$104,73),'例_顧客一覧'!$O$5:$O$104,0),"")</f>
        <v/>
      </c>
    </row>
    <row r="78">
      <c r="A78" s="23">
        <f>IF($J78="","",74)</f>
        <v/>
      </c>
      <c r="B78" s="22">
        <f>IF($J78="","",IF(INDEX('例_顧客一覧'!$M$5:$M$104,$J78)="","期日未定",INDEX('例_顧客一覧'!$M$5:$M$104,$J78)))</f>
        <v/>
      </c>
      <c r="C78" s="26">
        <f>IF($J78="","",IF(ISNUMBER($B78),$B78-$B$2,""))</f>
        <v/>
      </c>
      <c r="D78" s="23">
        <f>IF($J78="","",INDEX('例_顧客一覧'!$A$5:$A$104,$J78))</f>
        <v/>
      </c>
      <c r="E78" s="19">
        <f>IF($J78="","",INDEX('例_顧客一覧'!$C$5:$C$104,$J78)&amp;"")</f>
        <v/>
      </c>
      <c r="F78" s="19">
        <f>IF($J78="","",INDEX('例_顧客一覧'!$L$5:$L$104,$J78)&amp;"")</f>
        <v/>
      </c>
      <c r="G78" s="23">
        <f>IF($J78="","",INDEX('例_顧客一覧'!$G$5:$G$104,$J78)&amp;"")</f>
        <v/>
      </c>
      <c r="H78" s="23">
        <f>IF($J78="","",INDEX('例_顧客一覧'!$H$5:$H$104,$J78)&amp;"")</f>
        <v/>
      </c>
      <c r="I78" s="22">
        <f>IF($J78="","",INDEX('例_顧客一覧'!$J$5:$J$104,$J78))</f>
        <v/>
      </c>
      <c r="J78" s="33">
        <f>IFERROR(MATCH(SMALL('例_顧客一覧'!$O$5:$O$104,74),'例_顧客一覧'!$O$5:$O$104,0),"")</f>
        <v/>
      </c>
    </row>
    <row r="79">
      <c r="A79" s="23">
        <f>IF($J79="","",75)</f>
        <v/>
      </c>
      <c r="B79" s="22">
        <f>IF($J79="","",IF(INDEX('例_顧客一覧'!$M$5:$M$104,$J79)="","期日未定",INDEX('例_顧客一覧'!$M$5:$M$104,$J79)))</f>
        <v/>
      </c>
      <c r="C79" s="26">
        <f>IF($J79="","",IF(ISNUMBER($B79),$B79-$B$2,""))</f>
        <v/>
      </c>
      <c r="D79" s="23">
        <f>IF($J79="","",INDEX('例_顧客一覧'!$A$5:$A$104,$J79))</f>
        <v/>
      </c>
      <c r="E79" s="19">
        <f>IF($J79="","",INDEX('例_顧客一覧'!$C$5:$C$104,$J79)&amp;"")</f>
        <v/>
      </c>
      <c r="F79" s="19">
        <f>IF($J79="","",INDEX('例_顧客一覧'!$L$5:$L$104,$J79)&amp;"")</f>
        <v/>
      </c>
      <c r="G79" s="23">
        <f>IF($J79="","",INDEX('例_顧客一覧'!$G$5:$G$104,$J79)&amp;"")</f>
        <v/>
      </c>
      <c r="H79" s="23">
        <f>IF($J79="","",INDEX('例_顧客一覧'!$H$5:$H$104,$J79)&amp;"")</f>
        <v/>
      </c>
      <c r="I79" s="22">
        <f>IF($J79="","",INDEX('例_顧客一覧'!$J$5:$J$104,$J79))</f>
        <v/>
      </c>
      <c r="J79" s="33">
        <f>IFERROR(MATCH(SMALL('例_顧客一覧'!$O$5:$O$104,75),'例_顧客一覧'!$O$5:$O$104,0),"")</f>
        <v/>
      </c>
    </row>
    <row r="80">
      <c r="A80" s="23">
        <f>IF($J80="","",76)</f>
        <v/>
      </c>
      <c r="B80" s="22">
        <f>IF($J80="","",IF(INDEX('例_顧客一覧'!$M$5:$M$104,$J80)="","期日未定",INDEX('例_顧客一覧'!$M$5:$M$104,$J80)))</f>
        <v/>
      </c>
      <c r="C80" s="26">
        <f>IF($J80="","",IF(ISNUMBER($B80),$B80-$B$2,""))</f>
        <v/>
      </c>
      <c r="D80" s="23">
        <f>IF($J80="","",INDEX('例_顧客一覧'!$A$5:$A$104,$J80))</f>
        <v/>
      </c>
      <c r="E80" s="19">
        <f>IF($J80="","",INDEX('例_顧客一覧'!$C$5:$C$104,$J80)&amp;"")</f>
        <v/>
      </c>
      <c r="F80" s="19">
        <f>IF($J80="","",INDEX('例_顧客一覧'!$L$5:$L$104,$J80)&amp;"")</f>
        <v/>
      </c>
      <c r="G80" s="23">
        <f>IF($J80="","",INDEX('例_顧客一覧'!$G$5:$G$104,$J80)&amp;"")</f>
        <v/>
      </c>
      <c r="H80" s="23">
        <f>IF($J80="","",INDEX('例_顧客一覧'!$H$5:$H$104,$J80)&amp;"")</f>
        <v/>
      </c>
      <c r="I80" s="22">
        <f>IF($J80="","",INDEX('例_顧客一覧'!$J$5:$J$104,$J80))</f>
        <v/>
      </c>
      <c r="J80" s="33">
        <f>IFERROR(MATCH(SMALL('例_顧客一覧'!$O$5:$O$104,76),'例_顧客一覧'!$O$5:$O$104,0),"")</f>
        <v/>
      </c>
    </row>
    <row r="81">
      <c r="A81" s="23">
        <f>IF($J81="","",77)</f>
        <v/>
      </c>
      <c r="B81" s="22">
        <f>IF($J81="","",IF(INDEX('例_顧客一覧'!$M$5:$M$104,$J81)="","期日未定",INDEX('例_顧客一覧'!$M$5:$M$104,$J81)))</f>
        <v/>
      </c>
      <c r="C81" s="26">
        <f>IF($J81="","",IF(ISNUMBER($B81),$B81-$B$2,""))</f>
        <v/>
      </c>
      <c r="D81" s="23">
        <f>IF($J81="","",INDEX('例_顧客一覧'!$A$5:$A$104,$J81))</f>
        <v/>
      </c>
      <c r="E81" s="19">
        <f>IF($J81="","",INDEX('例_顧客一覧'!$C$5:$C$104,$J81)&amp;"")</f>
        <v/>
      </c>
      <c r="F81" s="19">
        <f>IF($J81="","",INDEX('例_顧客一覧'!$L$5:$L$104,$J81)&amp;"")</f>
        <v/>
      </c>
      <c r="G81" s="23">
        <f>IF($J81="","",INDEX('例_顧客一覧'!$G$5:$G$104,$J81)&amp;"")</f>
        <v/>
      </c>
      <c r="H81" s="23">
        <f>IF($J81="","",INDEX('例_顧客一覧'!$H$5:$H$104,$J81)&amp;"")</f>
        <v/>
      </c>
      <c r="I81" s="22">
        <f>IF($J81="","",INDEX('例_顧客一覧'!$J$5:$J$104,$J81))</f>
        <v/>
      </c>
      <c r="J81" s="33">
        <f>IFERROR(MATCH(SMALL('例_顧客一覧'!$O$5:$O$104,77),'例_顧客一覧'!$O$5:$O$104,0),"")</f>
        <v/>
      </c>
    </row>
    <row r="82">
      <c r="A82" s="23">
        <f>IF($J82="","",78)</f>
        <v/>
      </c>
      <c r="B82" s="22">
        <f>IF($J82="","",IF(INDEX('例_顧客一覧'!$M$5:$M$104,$J82)="","期日未定",INDEX('例_顧客一覧'!$M$5:$M$104,$J82)))</f>
        <v/>
      </c>
      <c r="C82" s="26">
        <f>IF($J82="","",IF(ISNUMBER($B82),$B82-$B$2,""))</f>
        <v/>
      </c>
      <c r="D82" s="23">
        <f>IF($J82="","",INDEX('例_顧客一覧'!$A$5:$A$104,$J82))</f>
        <v/>
      </c>
      <c r="E82" s="19">
        <f>IF($J82="","",INDEX('例_顧客一覧'!$C$5:$C$104,$J82)&amp;"")</f>
        <v/>
      </c>
      <c r="F82" s="19">
        <f>IF($J82="","",INDEX('例_顧客一覧'!$L$5:$L$104,$J82)&amp;"")</f>
        <v/>
      </c>
      <c r="G82" s="23">
        <f>IF($J82="","",INDEX('例_顧客一覧'!$G$5:$G$104,$J82)&amp;"")</f>
        <v/>
      </c>
      <c r="H82" s="23">
        <f>IF($J82="","",INDEX('例_顧客一覧'!$H$5:$H$104,$J82)&amp;"")</f>
        <v/>
      </c>
      <c r="I82" s="22">
        <f>IF($J82="","",INDEX('例_顧客一覧'!$J$5:$J$104,$J82))</f>
        <v/>
      </c>
      <c r="J82" s="33">
        <f>IFERROR(MATCH(SMALL('例_顧客一覧'!$O$5:$O$104,78),'例_顧客一覧'!$O$5:$O$104,0),"")</f>
        <v/>
      </c>
    </row>
    <row r="83">
      <c r="A83" s="23">
        <f>IF($J83="","",79)</f>
        <v/>
      </c>
      <c r="B83" s="22">
        <f>IF($J83="","",IF(INDEX('例_顧客一覧'!$M$5:$M$104,$J83)="","期日未定",INDEX('例_顧客一覧'!$M$5:$M$104,$J83)))</f>
        <v/>
      </c>
      <c r="C83" s="26">
        <f>IF($J83="","",IF(ISNUMBER($B83),$B83-$B$2,""))</f>
        <v/>
      </c>
      <c r="D83" s="23">
        <f>IF($J83="","",INDEX('例_顧客一覧'!$A$5:$A$104,$J83))</f>
        <v/>
      </c>
      <c r="E83" s="19">
        <f>IF($J83="","",INDEX('例_顧客一覧'!$C$5:$C$104,$J83)&amp;"")</f>
        <v/>
      </c>
      <c r="F83" s="19">
        <f>IF($J83="","",INDEX('例_顧客一覧'!$L$5:$L$104,$J83)&amp;"")</f>
        <v/>
      </c>
      <c r="G83" s="23">
        <f>IF($J83="","",INDEX('例_顧客一覧'!$G$5:$G$104,$J83)&amp;"")</f>
        <v/>
      </c>
      <c r="H83" s="23">
        <f>IF($J83="","",INDEX('例_顧客一覧'!$H$5:$H$104,$J83)&amp;"")</f>
        <v/>
      </c>
      <c r="I83" s="22">
        <f>IF($J83="","",INDEX('例_顧客一覧'!$J$5:$J$104,$J83))</f>
        <v/>
      </c>
      <c r="J83" s="33">
        <f>IFERROR(MATCH(SMALL('例_顧客一覧'!$O$5:$O$104,79),'例_顧客一覧'!$O$5:$O$104,0),"")</f>
        <v/>
      </c>
    </row>
    <row r="84">
      <c r="A84" s="23">
        <f>IF($J84="","",80)</f>
        <v/>
      </c>
      <c r="B84" s="22">
        <f>IF($J84="","",IF(INDEX('例_顧客一覧'!$M$5:$M$104,$J84)="","期日未定",INDEX('例_顧客一覧'!$M$5:$M$104,$J84)))</f>
        <v/>
      </c>
      <c r="C84" s="26">
        <f>IF($J84="","",IF(ISNUMBER($B84),$B84-$B$2,""))</f>
        <v/>
      </c>
      <c r="D84" s="23">
        <f>IF($J84="","",INDEX('例_顧客一覧'!$A$5:$A$104,$J84))</f>
        <v/>
      </c>
      <c r="E84" s="19">
        <f>IF($J84="","",INDEX('例_顧客一覧'!$C$5:$C$104,$J84)&amp;"")</f>
        <v/>
      </c>
      <c r="F84" s="19">
        <f>IF($J84="","",INDEX('例_顧客一覧'!$L$5:$L$104,$J84)&amp;"")</f>
        <v/>
      </c>
      <c r="G84" s="23">
        <f>IF($J84="","",INDEX('例_顧客一覧'!$G$5:$G$104,$J84)&amp;"")</f>
        <v/>
      </c>
      <c r="H84" s="23">
        <f>IF($J84="","",INDEX('例_顧客一覧'!$H$5:$H$104,$J84)&amp;"")</f>
        <v/>
      </c>
      <c r="I84" s="22">
        <f>IF($J84="","",INDEX('例_顧客一覧'!$J$5:$J$104,$J84))</f>
        <v/>
      </c>
      <c r="J84" s="33">
        <f>IFERROR(MATCH(SMALL('例_顧客一覧'!$O$5:$O$104,80),'例_顧客一覧'!$O$5:$O$104,0),"")</f>
        <v/>
      </c>
    </row>
    <row r="85">
      <c r="A85" s="23">
        <f>IF($J85="","",81)</f>
        <v/>
      </c>
      <c r="B85" s="22">
        <f>IF($J85="","",IF(INDEX('例_顧客一覧'!$M$5:$M$104,$J85)="","期日未定",INDEX('例_顧客一覧'!$M$5:$M$104,$J85)))</f>
        <v/>
      </c>
      <c r="C85" s="26">
        <f>IF($J85="","",IF(ISNUMBER($B85),$B85-$B$2,""))</f>
        <v/>
      </c>
      <c r="D85" s="23">
        <f>IF($J85="","",INDEX('例_顧客一覧'!$A$5:$A$104,$J85))</f>
        <v/>
      </c>
      <c r="E85" s="19">
        <f>IF($J85="","",INDEX('例_顧客一覧'!$C$5:$C$104,$J85)&amp;"")</f>
        <v/>
      </c>
      <c r="F85" s="19">
        <f>IF($J85="","",INDEX('例_顧客一覧'!$L$5:$L$104,$J85)&amp;"")</f>
        <v/>
      </c>
      <c r="G85" s="23">
        <f>IF($J85="","",INDEX('例_顧客一覧'!$G$5:$G$104,$J85)&amp;"")</f>
        <v/>
      </c>
      <c r="H85" s="23">
        <f>IF($J85="","",INDEX('例_顧客一覧'!$H$5:$H$104,$J85)&amp;"")</f>
        <v/>
      </c>
      <c r="I85" s="22">
        <f>IF($J85="","",INDEX('例_顧客一覧'!$J$5:$J$104,$J85))</f>
        <v/>
      </c>
      <c r="J85" s="33">
        <f>IFERROR(MATCH(SMALL('例_顧客一覧'!$O$5:$O$104,81),'例_顧客一覧'!$O$5:$O$104,0),"")</f>
        <v/>
      </c>
    </row>
    <row r="86">
      <c r="A86" s="23">
        <f>IF($J86="","",82)</f>
        <v/>
      </c>
      <c r="B86" s="22">
        <f>IF($J86="","",IF(INDEX('例_顧客一覧'!$M$5:$M$104,$J86)="","期日未定",INDEX('例_顧客一覧'!$M$5:$M$104,$J86)))</f>
        <v/>
      </c>
      <c r="C86" s="26">
        <f>IF($J86="","",IF(ISNUMBER($B86),$B86-$B$2,""))</f>
        <v/>
      </c>
      <c r="D86" s="23">
        <f>IF($J86="","",INDEX('例_顧客一覧'!$A$5:$A$104,$J86))</f>
        <v/>
      </c>
      <c r="E86" s="19">
        <f>IF($J86="","",INDEX('例_顧客一覧'!$C$5:$C$104,$J86)&amp;"")</f>
        <v/>
      </c>
      <c r="F86" s="19">
        <f>IF($J86="","",INDEX('例_顧客一覧'!$L$5:$L$104,$J86)&amp;"")</f>
        <v/>
      </c>
      <c r="G86" s="23">
        <f>IF($J86="","",INDEX('例_顧客一覧'!$G$5:$G$104,$J86)&amp;"")</f>
        <v/>
      </c>
      <c r="H86" s="23">
        <f>IF($J86="","",INDEX('例_顧客一覧'!$H$5:$H$104,$J86)&amp;"")</f>
        <v/>
      </c>
      <c r="I86" s="22">
        <f>IF($J86="","",INDEX('例_顧客一覧'!$J$5:$J$104,$J86))</f>
        <v/>
      </c>
      <c r="J86" s="33">
        <f>IFERROR(MATCH(SMALL('例_顧客一覧'!$O$5:$O$104,82),'例_顧客一覧'!$O$5:$O$104,0),"")</f>
        <v/>
      </c>
    </row>
    <row r="87">
      <c r="A87" s="23">
        <f>IF($J87="","",83)</f>
        <v/>
      </c>
      <c r="B87" s="22">
        <f>IF($J87="","",IF(INDEX('例_顧客一覧'!$M$5:$M$104,$J87)="","期日未定",INDEX('例_顧客一覧'!$M$5:$M$104,$J87)))</f>
        <v/>
      </c>
      <c r="C87" s="26">
        <f>IF($J87="","",IF(ISNUMBER($B87),$B87-$B$2,""))</f>
        <v/>
      </c>
      <c r="D87" s="23">
        <f>IF($J87="","",INDEX('例_顧客一覧'!$A$5:$A$104,$J87))</f>
        <v/>
      </c>
      <c r="E87" s="19">
        <f>IF($J87="","",INDEX('例_顧客一覧'!$C$5:$C$104,$J87)&amp;"")</f>
        <v/>
      </c>
      <c r="F87" s="19">
        <f>IF($J87="","",INDEX('例_顧客一覧'!$L$5:$L$104,$J87)&amp;"")</f>
        <v/>
      </c>
      <c r="G87" s="23">
        <f>IF($J87="","",INDEX('例_顧客一覧'!$G$5:$G$104,$J87)&amp;"")</f>
        <v/>
      </c>
      <c r="H87" s="23">
        <f>IF($J87="","",INDEX('例_顧客一覧'!$H$5:$H$104,$J87)&amp;"")</f>
        <v/>
      </c>
      <c r="I87" s="22">
        <f>IF($J87="","",INDEX('例_顧客一覧'!$J$5:$J$104,$J87))</f>
        <v/>
      </c>
      <c r="J87" s="33">
        <f>IFERROR(MATCH(SMALL('例_顧客一覧'!$O$5:$O$104,83),'例_顧客一覧'!$O$5:$O$104,0),"")</f>
        <v/>
      </c>
    </row>
    <row r="88">
      <c r="A88" s="23">
        <f>IF($J88="","",84)</f>
        <v/>
      </c>
      <c r="B88" s="22">
        <f>IF($J88="","",IF(INDEX('例_顧客一覧'!$M$5:$M$104,$J88)="","期日未定",INDEX('例_顧客一覧'!$M$5:$M$104,$J88)))</f>
        <v/>
      </c>
      <c r="C88" s="26">
        <f>IF($J88="","",IF(ISNUMBER($B88),$B88-$B$2,""))</f>
        <v/>
      </c>
      <c r="D88" s="23">
        <f>IF($J88="","",INDEX('例_顧客一覧'!$A$5:$A$104,$J88))</f>
        <v/>
      </c>
      <c r="E88" s="19">
        <f>IF($J88="","",INDEX('例_顧客一覧'!$C$5:$C$104,$J88)&amp;"")</f>
        <v/>
      </c>
      <c r="F88" s="19">
        <f>IF($J88="","",INDEX('例_顧客一覧'!$L$5:$L$104,$J88)&amp;"")</f>
        <v/>
      </c>
      <c r="G88" s="23">
        <f>IF($J88="","",INDEX('例_顧客一覧'!$G$5:$G$104,$J88)&amp;"")</f>
        <v/>
      </c>
      <c r="H88" s="23">
        <f>IF($J88="","",INDEX('例_顧客一覧'!$H$5:$H$104,$J88)&amp;"")</f>
        <v/>
      </c>
      <c r="I88" s="22">
        <f>IF($J88="","",INDEX('例_顧客一覧'!$J$5:$J$104,$J88))</f>
        <v/>
      </c>
      <c r="J88" s="33">
        <f>IFERROR(MATCH(SMALL('例_顧客一覧'!$O$5:$O$104,84),'例_顧客一覧'!$O$5:$O$104,0),"")</f>
        <v/>
      </c>
    </row>
    <row r="89">
      <c r="A89" s="23">
        <f>IF($J89="","",85)</f>
        <v/>
      </c>
      <c r="B89" s="22">
        <f>IF($J89="","",IF(INDEX('例_顧客一覧'!$M$5:$M$104,$J89)="","期日未定",INDEX('例_顧客一覧'!$M$5:$M$104,$J89)))</f>
        <v/>
      </c>
      <c r="C89" s="26">
        <f>IF($J89="","",IF(ISNUMBER($B89),$B89-$B$2,""))</f>
        <v/>
      </c>
      <c r="D89" s="23">
        <f>IF($J89="","",INDEX('例_顧客一覧'!$A$5:$A$104,$J89))</f>
        <v/>
      </c>
      <c r="E89" s="19">
        <f>IF($J89="","",INDEX('例_顧客一覧'!$C$5:$C$104,$J89)&amp;"")</f>
        <v/>
      </c>
      <c r="F89" s="19">
        <f>IF($J89="","",INDEX('例_顧客一覧'!$L$5:$L$104,$J89)&amp;"")</f>
        <v/>
      </c>
      <c r="G89" s="23">
        <f>IF($J89="","",INDEX('例_顧客一覧'!$G$5:$G$104,$J89)&amp;"")</f>
        <v/>
      </c>
      <c r="H89" s="23">
        <f>IF($J89="","",INDEX('例_顧客一覧'!$H$5:$H$104,$J89)&amp;"")</f>
        <v/>
      </c>
      <c r="I89" s="22">
        <f>IF($J89="","",INDEX('例_顧客一覧'!$J$5:$J$104,$J89))</f>
        <v/>
      </c>
      <c r="J89" s="33">
        <f>IFERROR(MATCH(SMALL('例_顧客一覧'!$O$5:$O$104,85),'例_顧客一覧'!$O$5:$O$104,0),"")</f>
        <v/>
      </c>
    </row>
    <row r="90">
      <c r="A90" s="23">
        <f>IF($J90="","",86)</f>
        <v/>
      </c>
      <c r="B90" s="22">
        <f>IF($J90="","",IF(INDEX('例_顧客一覧'!$M$5:$M$104,$J90)="","期日未定",INDEX('例_顧客一覧'!$M$5:$M$104,$J90)))</f>
        <v/>
      </c>
      <c r="C90" s="26">
        <f>IF($J90="","",IF(ISNUMBER($B90),$B90-$B$2,""))</f>
        <v/>
      </c>
      <c r="D90" s="23">
        <f>IF($J90="","",INDEX('例_顧客一覧'!$A$5:$A$104,$J90))</f>
        <v/>
      </c>
      <c r="E90" s="19">
        <f>IF($J90="","",INDEX('例_顧客一覧'!$C$5:$C$104,$J90)&amp;"")</f>
        <v/>
      </c>
      <c r="F90" s="19">
        <f>IF($J90="","",INDEX('例_顧客一覧'!$L$5:$L$104,$J90)&amp;"")</f>
        <v/>
      </c>
      <c r="G90" s="23">
        <f>IF($J90="","",INDEX('例_顧客一覧'!$G$5:$G$104,$J90)&amp;"")</f>
        <v/>
      </c>
      <c r="H90" s="23">
        <f>IF($J90="","",INDEX('例_顧客一覧'!$H$5:$H$104,$J90)&amp;"")</f>
        <v/>
      </c>
      <c r="I90" s="22">
        <f>IF($J90="","",INDEX('例_顧客一覧'!$J$5:$J$104,$J90))</f>
        <v/>
      </c>
      <c r="J90" s="33">
        <f>IFERROR(MATCH(SMALL('例_顧客一覧'!$O$5:$O$104,86),'例_顧客一覧'!$O$5:$O$104,0),"")</f>
        <v/>
      </c>
    </row>
    <row r="91">
      <c r="A91" s="23">
        <f>IF($J91="","",87)</f>
        <v/>
      </c>
      <c r="B91" s="22">
        <f>IF($J91="","",IF(INDEX('例_顧客一覧'!$M$5:$M$104,$J91)="","期日未定",INDEX('例_顧客一覧'!$M$5:$M$104,$J91)))</f>
        <v/>
      </c>
      <c r="C91" s="26">
        <f>IF($J91="","",IF(ISNUMBER($B91),$B91-$B$2,""))</f>
        <v/>
      </c>
      <c r="D91" s="23">
        <f>IF($J91="","",INDEX('例_顧客一覧'!$A$5:$A$104,$J91))</f>
        <v/>
      </c>
      <c r="E91" s="19">
        <f>IF($J91="","",INDEX('例_顧客一覧'!$C$5:$C$104,$J91)&amp;"")</f>
        <v/>
      </c>
      <c r="F91" s="19">
        <f>IF($J91="","",INDEX('例_顧客一覧'!$L$5:$L$104,$J91)&amp;"")</f>
        <v/>
      </c>
      <c r="G91" s="23">
        <f>IF($J91="","",INDEX('例_顧客一覧'!$G$5:$G$104,$J91)&amp;"")</f>
        <v/>
      </c>
      <c r="H91" s="23">
        <f>IF($J91="","",INDEX('例_顧客一覧'!$H$5:$H$104,$J91)&amp;"")</f>
        <v/>
      </c>
      <c r="I91" s="22">
        <f>IF($J91="","",INDEX('例_顧客一覧'!$J$5:$J$104,$J91))</f>
        <v/>
      </c>
      <c r="J91" s="33">
        <f>IFERROR(MATCH(SMALL('例_顧客一覧'!$O$5:$O$104,87),'例_顧客一覧'!$O$5:$O$104,0),"")</f>
        <v/>
      </c>
    </row>
    <row r="92">
      <c r="A92" s="23">
        <f>IF($J92="","",88)</f>
        <v/>
      </c>
      <c r="B92" s="22">
        <f>IF($J92="","",IF(INDEX('例_顧客一覧'!$M$5:$M$104,$J92)="","期日未定",INDEX('例_顧客一覧'!$M$5:$M$104,$J92)))</f>
        <v/>
      </c>
      <c r="C92" s="26">
        <f>IF($J92="","",IF(ISNUMBER($B92),$B92-$B$2,""))</f>
        <v/>
      </c>
      <c r="D92" s="23">
        <f>IF($J92="","",INDEX('例_顧客一覧'!$A$5:$A$104,$J92))</f>
        <v/>
      </c>
      <c r="E92" s="19">
        <f>IF($J92="","",INDEX('例_顧客一覧'!$C$5:$C$104,$J92)&amp;"")</f>
        <v/>
      </c>
      <c r="F92" s="19">
        <f>IF($J92="","",INDEX('例_顧客一覧'!$L$5:$L$104,$J92)&amp;"")</f>
        <v/>
      </c>
      <c r="G92" s="23">
        <f>IF($J92="","",INDEX('例_顧客一覧'!$G$5:$G$104,$J92)&amp;"")</f>
        <v/>
      </c>
      <c r="H92" s="23">
        <f>IF($J92="","",INDEX('例_顧客一覧'!$H$5:$H$104,$J92)&amp;"")</f>
        <v/>
      </c>
      <c r="I92" s="22">
        <f>IF($J92="","",INDEX('例_顧客一覧'!$J$5:$J$104,$J92))</f>
        <v/>
      </c>
      <c r="J92" s="33">
        <f>IFERROR(MATCH(SMALL('例_顧客一覧'!$O$5:$O$104,88),'例_顧客一覧'!$O$5:$O$104,0),"")</f>
        <v/>
      </c>
    </row>
    <row r="93">
      <c r="A93" s="23">
        <f>IF($J93="","",89)</f>
        <v/>
      </c>
      <c r="B93" s="22">
        <f>IF($J93="","",IF(INDEX('例_顧客一覧'!$M$5:$M$104,$J93)="","期日未定",INDEX('例_顧客一覧'!$M$5:$M$104,$J93)))</f>
        <v/>
      </c>
      <c r="C93" s="26">
        <f>IF($J93="","",IF(ISNUMBER($B93),$B93-$B$2,""))</f>
        <v/>
      </c>
      <c r="D93" s="23">
        <f>IF($J93="","",INDEX('例_顧客一覧'!$A$5:$A$104,$J93))</f>
        <v/>
      </c>
      <c r="E93" s="19">
        <f>IF($J93="","",INDEX('例_顧客一覧'!$C$5:$C$104,$J93)&amp;"")</f>
        <v/>
      </c>
      <c r="F93" s="19">
        <f>IF($J93="","",INDEX('例_顧客一覧'!$L$5:$L$104,$J93)&amp;"")</f>
        <v/>
      </c>
      <c r="G93" s="23">
        <f>IF($J93="","",INDEX('例_顧客一覧'!$G$5:$G$104,$J93)&amp;"")</f>
        <v/>
      </c>
      <c r="H93" s="23">
        <f>IF($J93="","",INDEX('例_顧客一覧'!$H$5:$H$104,$J93)&amp;"")</f>
        <v/>
      </c>
      <c r="I93" s="22">
        <f>IF($J93="","",INDEX('例_顧客一覧'!$J$5:$J$104,$J93))</f>
        <v/>
      </c>
      <c r="J93" s="33">
        <f>IFERROR(MATCH(SMALL('例_顧客一覧'!$O$5:$O$104,89),'例_顧客一覧'!$O$5:$O$104,0),"")</f>
        <v/>
      </c>
    </row>
    <row r="94">
      <c r="A94" s="23">
        <f>IF($J94="","",90)</f>
        <v/>
      </c>
      <c r="B94" s="22">
        <f>IF($J94="","",IF(INDEX('例_顧客一覧'!$M$5:$M$104,$J94)="","期日未定",INDEX('例_顧客一覧'!$M$5:$M$104,$J94)))</f>
        <v/>
      </c>
      <c r="C94" s="26">
        <f>IF($J94="","",IF(ISNUMBER($B94),$B94-$B$2,""))</f>
        <v/>
      </c>
      <c r="D94" s="23">
        <f>IF($J94="","",INDEX('例_顧客一覧'!$A$5:$A$104,$J94))</f>
        <v/>
      </c>
      <c r="E94" s="19">
        <f>IF($J94="","",INDEX('例_顧客一覧'!$C$5:$C$104,$J94)&amp;"")</f>
        <v/>
      </c>
      <c r="F94" s="19">
        <f>IF($J94="","",INDEX('例_顧客一覧'!$L$5:$L$104,$J94)&amp;"")</f>
        <v/>
      </c>
      <c r="G94" s="23">
        <f>IF($J94="","",INDEX('例_顧客一覧'!$G$5:$G$104,$J94)&amp;"")</f>
        <v/>
      </c>
      <c r="H94" s="23">
        <f>IF($J94="","",INDEX('例_顧客一覧'!$H$5:$H$104,$J94)&amp;"")</f>
        <v/>
      </c>
      <c r="I94" s="22">
        <f>IF($J94="","",INDEX('例_顧客一覧'!$J$5:$J$104,$J94))</f>
        <v/>
      </c>
      <c r="J94" s="33">
        <f>IFERROR(MATCH(SMALL('例_顧客一覧'!$O$5:$O$104,90),'例_顧客一覧'!$O$5:$O$104,0),"")</f>
        <v/>
      </c>
    </row>
    <row r="95">
      <c r="A95" s="23">
        <f>IF($J95="","",91)</f>
        <v/>
      </c>
      <c r="B95" s="22">
        <f>IF($J95="","",IF(INDEX('例_顧客一覧'!$M$5:$M$104,$J95)="","期日未定",INDEX('例_顧客一覧'!$M$5:$M$104,$J95)))</f>
        <v/>
      </c>
      <c r="C95" s="26">
        <f>IF($J95="","",IF(ISNUMBER($B95),$B95-$B$2,""))</f>
        <v/>
      </c>
      <c r="D95" s="23">
        <f>IF($J95="","",INDEX('例_顧客一覧'!$A$5:$A$104,$J95))</f>
        <v/>
      </c>
      <c r="E95" s="19">
        <f>IF($J95="","",INDEX('例_顧客一覧'!$C$5:$C$104,$J95)&amp;"")</f>
        <v/>
      </c>
      <c r="F95" s="19">
        <f>IF($J95="","",INDEX('例_顧客一覧'!$L$5:$L$104,$J95)&amp;"")</f>
        <v/>
      </c>
      <c r="G95" s="23">
        <f>IF($J95="","",INDEX('例_顧客一覧'!$G$5:$G$104,$J95)&amp;"")</f>
        <v/>
      </c>
      <c r="H95" s="23">
        <f>IF($J95="","",INDEX('例_顧客一覧'!$H$5:$H$104,$J95)&amp;"")</f>
        <v/>
      </c>
      <c r="I95" s="22">
        <f>IF($J95="","",INDEX('例_顧客一覧'!$J$5:$J$104,$J95))</f>
        <v/>
      </c>
      <c r="J95" s="33">
        <f>IFERROR(MATCH(SMALL('例_顧客一覧'!$O$5:$O$104,91),'例_顧客一覧'!$O$5:$O$104,0),"")</f>
        <v/>
      </c>
    </row>
    <row r="96">
      <c r="A96" s="23">
        <f>IF($J96="","",92)</f>
        <v/>
      </c>
      <c r="B96" s="22">
        <f>IF($J96="","",IF(INDEX('例_顧客一覧'!$M$5:$M$104,$J96)="","期日未定",INDEX('例_顧客一覧'!$M$5:$M$104,$J96)))</f>
        <v/>
      </c>
      <c r="C96" s="26">
        <f>IF($J96="","",IF(ISNUMBER($B96),$B96-$B$2,""))</f>
        <v/>
      </c>
      <c r="D96" s="23">
        <f>IF($J96="","",INDEX('例_顧客一覧'!$A$5:$A$104,$J96))</f>
        <v/>
      </c>
      <c r="E96" s="19">
        <f>IF($J96="","",INDEX('例_顧客一覧'!$C$5:$C$104,$J96)&amp;"")</f>
        <v/>
      </c>
      <c r="F96" s="19">
        <f>IF($J96="","",INDEX('例_顧客一覧'!$L$5:$L$104,$J96)&amp;"")</f>
        <v/>
      </c>
      <c r="G96" s="23">
        <f>IF($J96="","",INDEX('例_顧客一覧'!$G$5:$G$104,$J96)&amp;"")</f>
        <v/>
      </c>
      <c r="H96" s="23">
        <f>IF($J96="","",INDEX('例_顧客一覧'!$H$5:$H$104,$J96)&amp;"")</f>
        <v/>
      </c>
      <c r="I96" s="22">
        <f>IF($J96="","",INDEX('例_顧客一覧'!$J$5:$J$104,$J96))</f>
        <v/>
      </c>
      <c r="J96" s="33">
        <f>IFERROR(MATCH(SMALL('例_顧客一覧'!$O$5:$O$104,92),'例_顧客一覧'!$O$5:$O$104,0),"")</f>
        <v/>
      </c>
    </row>
    <row r="97">
      <c r="A97" s="23">
        <f>IF($J97="","",93)</f>
        <v/>
      </c>
      <c r="B97" s="22">
        <f>IF($J97="","",IF(INDEX('例_顧客一覧'!$M$5:$M$104,$J97)="","期日未定",INDEX('例_顧客一覧'!$M$5:$M$104,$J97)))</f>
        <v/>
      </c>
      <c r="C97" s="26">
        <f>IF($J97="","",IF(ISNUMBER($B97),$B97-$B$2,""))</f>
        <v/>
      </c>
      <c r="D97" s="23">
        <f>IF($J97="","",INDEX('例_顧客一覧'!$A$5:$A$104,$J97))</f>
        <v/>
      </c>
      <c r="E97" s="19">
        <f>IF($J97="","",INDEX('例_顧客一覧'!$C$5:$C$104,$J97)&amp;"")</f>
        <v/>
      </c>
      <c r="F97" s="19">
        <f>IF($J97="","",INDEX('例_顧客一覧'!$L$5:$L$104,$J97)&amp;"")</f>
        <v/>
      </c>
      <c r="G97" s="23">
        <f>IF($J97="","",INDEX('例_顧客一覧'!$G$5:$G$104,$J97)&amp;"")</f>
        <v/>
      </c>
      <c r="H97" s="23">
        <f>IF($J97="","",INDEX('例_顧客一覧'!$H$5:$H$104,$J97)&amp;"")</f>
        <v/>
      </c>
      <c r="I97" s="22">
        <f>IF($J97="","",INDEX('例_顧客一覧'!$J$5:$J$104,$J97))</f>
        <v/>
      </c>
      <c r="J97" s="33">
        <f>IFERROR(MATCH(SMALL('例_顧客一覧'!$O$5:$O$104,93),'例_顧客一覧'!$O$5:$O$104,0),"")</f>
        <v/>
      </c>
    </row>
    <row r="98">
      <c r="A98" s="23">
        <f>IF($J98="","",94)</f>
        <v/>
      </c>
      <c r="B98" s="22">
        <f>IF($J98="","",IF(INDEX('例_顧客一覧'!$M$5:$M$104,$J98)="","期日未定",INDEX('例_顧客一覧'!$M$5:$M$104,$J98)))</f>
        <v/>
      </c>
      <c r="C98" s="26">
        <f>IF($J98="","",IF(ISNUMBER($B98),$B98-$B$2,""))</f>
        <v/>
      </c>
      <c r="D98" s="23">
        <f>IF($J98="","",INDEX('例_顧客一覧'!$A$5:$A$104,$J98))</f>
        <v/>
      </c>
      <c r="E98" s="19">
        <f>IF($J98="","",INDEX('例_顧客一覧'!$C$5:$C$104,$J98)&amp;"")</f>
        <v/>
      </c>
      <c r="F98" s="19">
        <f>IF($J98="","",INDEX('例_顧客一覧'!$L$5:$L$104,$J98)&amp;"")</f>
        <v/>
      </c>
      <c r="G98" s="23">
        <f>IF($J98="","",INDEX('例_顧客一覧'!$G$5:$G$104,$J98)&amp;"")</f>
        <v/>
      </c>
      <c r="H98" s="23">
        <f>IF($J98="","",INDEX('例_顧客一覧'!$H$5:$H$104,$J98)&amp;"")</f>
        <v/>
      </c>
      <c r="I98" s="22">
        <f>IF($J98="","",INDEX('例_顧客一覧'!$J$5:$J$104,$J98))</f>
        <v/>
      </c>
      <c r="J98" s="33">
        <f>IFERROR(MATCH(SMALL('例_顧客一覧'!$O$5:$O$104,94),'例_顧客一覧'!$O$5:$O$104,0),"")</f>
        <v/>
      </c>
    </row>
    <row r="99">
      <c r="A99" s="23">
        <f>IF($J99="","",95)</f>
        <v/>
      </c>
      <c r="B99" s="22">
        <f>IF($J99="","",IF(INDEX('例_顧客一覧'!$M$5:$M$104,$J99)="","期日未定",INDEX('例_顧客一覧'!$M$5:$M$104,$J99)))</f>
        <v/>
      </c>
      <c r="C99" s="26">
        <f>IF($J99="","",IF(ISNUMBER($B99),$B99-$B$2,""))</f>
        <v/>
      </c>
      <c r="D99" s="23">
        <f>IF($J99="","",INDEX('例_顧客一覧'!$A$5:$A$104,$J99))</f>
        <v/>
      </c>
      <c r="E99" s="19">
        <f>IF($J99="","",INDEX('例_顧客一覧'!$C$5:$C$104,$J99)&amp;"")</f>
        <v/>
      </c>
      <c r="F99" s="19">
        <f>IF($J99="","",INDEX('例_顧客一覧'!$L$5:$L$104,$J99)&amp;"")</f>
        <v/>
      </c>
      <c r="G99" s="23">
        <f>IF($J99="","",INDEX('例_顧客一覧'!$G$5:$G$104,$J99)&amp;"")</f>
        <v/>
      </c>
      <c r="H99" s="23">
        <f>IF($J99="","",INDEX('例_顧客一覧'!$H$5:$H$104,$J99)&amp;"")</f>
        <v/>
      </c>
      <c r="I99" s="22">
        <f>IF($J99="","",INDEX('例_顧客一覧'!$J$5:$J$104,$J99))</f>
        <v/>
      </c>
      <c r="J99" s="33">
        <f>IFERROR(MATCH(SMALL('例_顧客一覧'!$O$5:$O$104,95),'例_顧客一覧'!$O$5:$O$104,0),"")</f>
        <v/>
      </c>
    </row>
    <row r="100">
      <c r="A100" s="23">
        <f>IF($J100="","",96)</f>
        <v/>
      </c>
      <c r="B100" s="22">
        <f>IF($J100="","",IF(INDEX('例_顧客一覧'!$M$5:$M$104,$J100)="","期日未定",INDEX('例_顧客一覧'!$M$5:$M$104,$J100)))</f>
        <v/>
      </c>
      <c r="C100" s="26">
        <f>IF($J100="","",IF(ISNUMBER($B100),$B100-$B$2,""))</f>
        <v/>
      </c>
      <c r="D100" s="23">
        <f>IF($J100="","",INDEX('例_顧客一覧'!$A$5:$A$104,$J100))</f>
        <v/>
      </c>
      <c r="E100" s="19">
        <f>IF($J100="","",INDEX('例_顧客一覧'!$C$5:$C$104,$J100)&amp;"")</f>
        <v/>
      </c>
      <c r="F100" s="19">
        <f>IF($J100="","",INDEX('例_顧客一覧'!$L$5:$L$104,$J100)&amp;"")</f>
        <v/>
      </c>
      <c r="G100" s="23">
        <f>IF($J100="","",INDEX('例_顧客一覧'!$G$5:$G$104,$J100)&amp;"")</f>
        <v/>
      </c>
      <c r="H100" s="23">
        <f>IF($J100="","",INDEX('例_顧客一覧'!$H$5:$H$104,$J100)&amp;"")</f>
        <v/>
      </c>
      <c r="I100" s="22">
        <f>IF($J100="","",INDEX('例_顧客一覧'!$J$5:$J$104,$J100))</f>
        <v/>
      </c>
      <c r="J100" s="33">
        <f>IFERROR(MATCH(SMALL('例_顧客一覧'!$O$5:$O$104,96),'例_顧客一覧'!$O$5:$O$104,0),"")</f>
        <v/>
      </c>
    </row>
    <row r="101">
      <c r="A101" s="23">
        <f>IF($J101="","",97)</f>
        <v/>
      </c>
      <c r="B101" s="22">
        <f>IF($J101="","",IF(INDEX('例_顧客一覧'!$M$5:$M$104,$J101)="","期日未定",INDEX('例_顧客一覧'!$M$5:$M$104,$J101)))</f>
        <v/>
      </c>
      <c r="C101" s="26">
        <f>IF($J101="","",IF(ISNUMBER($B101),$B101-$B$2,""))</f>
        <v/>
      </c>
      <c r="D101" s="23">
        <f>IF($J101="","",INDEX('例_顧客一覧'!$A$5:$A$104,$J101))</f>
        <v/>
      </c>
      <c r="E101" s="19">
        <f>IF($J101="","",INDEX('例_顧客一覧'!$C$5:$C$104,$J101)&amp;"")</f>
        <v/>
      </c>
      <c r="F101" s="19">
        <f>IF($J101="","",INDEX('例_顧客一覧'!$L$5:$L$104,$J101)&amp;"")</f>
        <v/>
      </c>
      <c r="G101" s="23">
        <f>IF($J101="","",INDEX('例_顧客一覧'!$G$5:$G$104,$J101)&amp;"")</f>
        <v/>
      </c>
      <c r="H101" s="23">
        <f>IF($J101="","",INDEX('例_顧客一覧'!$H$5:$H$104,$J101)&amp;"")</f>
        <v/>
      </c>
      <c r="I101" s="22">
        <f>IF($J101="","",INDEX('例_顧客一覧'!$J$5:$J$104,$J101))</f>
        <v/>
      </c>
      <c r="J101" s="33">
        <f>IFERROR(MATCH(SMALL('例_顧客一覧'!$O$5:$O$104,97),'例_顧客一覧'!$O$5:$O$104,0),"")</f>
        <v/>
      </c>
    </row>
    <row r="102">
      <c r="A102" s="23">
        <f>IF($J102="","",98)</f>
        <v/>
      </c>
      <c r="B102" s="22">
        <f>IF($J102="","",IF(INDEX('例_顧客一覧'!$M$5:$M$104,$J102)="","期日未定",INDEX('例_顧客一覧'!$M$5:$M$104,$J102)))</f>
        <v/>
      </c>
      <c r="C102" s="26">
        <f>IF($J102="","",IF(ISNUMBER($B102),$B102-$B$2,""))</f>
        <v/>
      </c>
      <c r="D102" s="23">
        <f>IF($J102="","",INDEX('例_顧客一覧'!$A$5:$A$104,$J102))</f>
        <v/>
      </c>
      <c r="E102" s="19">
        <f>IF($J102="","",INDEX('例_顧客一覧'!$C$5:$C$104,$J102)&amp;"")</f>
        <v/>
      </c>
      <c r="F102" s="19">
        <f>IF($J102="","",INDEX('例_顧客一覧'!$L$5:$L$104,$J102)&amp;"")</f>
        <v/>
      </c>
      <c r="G102" s="23">
        <f>IF($J102="","",INDEX('例_顧客一覧'!$G$5:$G$104,$J102)&amp;"")</f>
        <v/>
      </c>
      <c r="H102" s="23">
        <f>IF($J102="","",INDEX('例_顧客一覧'!$H$5:$H$104,$J102)&amp;"")</f>
        <v/>
      </c>
      <c r="I102" s="22">
        <f>IF($J102="","",INDEX('例_顧客一覧'!$J$5:$J$104,$J102))</f>
        <v/>
      </c>
      <c r="J102" s="33">
        <f>IFERROR(MATCH(SMALL('例_顧客一覧'!$O$5:$O$104,98),'例_顧客一覧'!$O$5:$O$104,0),"")</f>
        <v/>
      </c>
    </row>
    <row r="103">
      <c r="A103" s="23">
        <f>IF($J103="","",99)</f>
        <v/>
      </c>
      <c r="B103" s="22">
        <f>IF($J103="","",IF(INDEX('例_顧客一覧'!$M$5:$M$104,$J103)="","期日未定",INDEX('例_顧客一覧'!$M$5:$M$104,$J103)))</f>
        <v/>
      </c>
      <c r="C103" s="26">
        <f>IF($J103="","",IF(ISNUMBER($B103),$B103-$B$2,""))</f>
        <v/>
      </c>
      <c r="D103" s="23">
        <f>IF($J103="","",INDEX('例_顧客一覧'!$A$5:$A$104,$J103))</f>
        <v/>
      </c>
      <c r="E103" s="19">
        <f>IF($J103="","",INDEX('例_顧客一覧'!$C$5:$C$104,$J103)&amp;"")</f>
        <v/>
      </c>
      <c r="F103" s="19">
        <f>IF($J103="","",INDEX('例_顧客一覧'!$L$5:$L$104,$J103)&amp;"")</f>
        <v/>
      </c>
      <c r="G103" s="23">
        <f>IF($J103="","",INDEX('例_顧客一覧'!$G$5:$G$104,$J103)&amp;"")</f>
        <v/>
      </c>
      <c r="H103" s="23">
        <f>IF($J103="","",INDEX('例_顧客一覧'!$H$5:$H$104,$J103)&amp;"")</f>
        <v/>
      </c>
      <c r="I103" s="22">
        <f>IF($J103="","",INDEX('例_顧客一覧'!$J$5:$J$104,$J103))</f>
        <v/>
      </c>
      <c r="J103" s="33">
        <f>IFERROR(MATCH(SMALL('例_顧客一覧'!$O$5:$O$104,99),'例_顧客一覧'!$O$5:$O$104,0),"")</f>
        <v/>
      </c>
    </row>
    <row r="104">
      <c r="A104" s="23">
        <f>IF($J104="","",100)</f>
        <v/>
      </c>
      <c r="B104" s="22">
        <f>IF($J104="","",IF(INDEX('例_顧客一覧'!$M$5:$M$104,$J104)="","期日未定",INDEX('例_顧客一覧'!$M$5:$M$104,$J104)))</f>
        <v/>
      </c>
      <c r="C104" s="26">
        <f>IF($J104="","",IF(ISNUMBER($B104),$B104-$B$2,""))</f>
        <v/>
      </c>
      <c r="D104" s="23">
        <f>IF($J104="","",INDEX('例_顧客一覧'!$A$5:$A$104,$J104))</f>
        <v/>
      </c>
      <c r="E104" s="19">
        <f>IF($J104="","",INDEX('例_顧客一覧'!$C$5:$C$104,$J104)&amp;"")</f>
        <v/>
      </c>
      <c r="F104" s="19">
        <f>IF($J104="","",INDEX('例_顧客一覧'!$L$5:$L$104,$J104)&amp;"")</f>
        <v/>
      </c>
      <c r="G104" s="23">
        <f>IF($J104="","",INDEX('例_顧客一覧'!$G$5:$G$104,$J104)&amp;"")</f>
        <v/>
      </c>
      <c r="H104" s="23">
        <f>IF($J104="","",INDEX('例_顧客一覧'!$H$5:$H$104,$J104)&amp;"")</f>
        <v/>
      </c>
      <c r="I104" s="22">
        <f>IF($J104="","",INDEX('例_顧客一覧'!$J$5:$J$104,$J104))</f>
        <v/>
      </c>
      <c r="J104" s="33">
        <f>IFERROR(MATCH(SMALL('例_顧客一覧'!$O$5:$O$104,100),'例_顧客一覧'!$O$5:$O$104,0),"")</f>
        <v/>
      </c>
    </row>
  </sheetData>
  <mergeCells count="3">
    <mergeCell ref="A1:I1"/>
    <mergeCell ref="A3:I3"/>
    <mergeCell ref="C2:I2"/>
  </mergeCells>
  <conditionalFormatting sqref="A5:I104">
    <cfRule type="expression" priority="1" dxfId="0">
      <formula>AND(ISNUMBER($C5),$C5&lt;0)</formula>
    </cfRule>
    <cfRule type="expression" priority="2" dxfId="1">
      <formula>AND(ISNUMBER($C5),$C5&gt;=0,$C5&lt;=3)</formula>
    </cfRule>
  </conditionalFormatting>
  <pageMargins left="0.75" right="0.75" top="1" bottom="1" header="0.5" footer="0.5"/>
  <pageSetup orientation="landscape" fitToHeight="0" fitToWidth="1"/>
</worksheet>
</file>

<file path=xl/worksheets/sheet9.xml><?xml version="1.0" encoding="utf-8"?>
<worksheet xmlns="http://schemas.openxmlformats.org/spreadsheetml/2006/main">
  <sheetPr>
    <tabColor rgb="0066707A"/>
    <outlinePr summaryBelow="1" summaryRight="1"/>
    <pageSetUpPr fitToPage="1"/>
  </sheetPr>
  <dimension ref="A1:B53"/>
  <sheetViews>
    <sheetView showGridLines="0" workbookViewId="0">
      <selection activeCell="A1" sqref="A1"/>
    </sheetView>
  </sheetViews>
  <sheetFormatPr baseColWidth="8" defaultRowHeight="15"/>
  <cols>
    <col width="22" customWidth="1" min="1" max="1"/>
    <col width="110" customWidth="1" min="2" max="2"/>
  </cols>
  <sheetData>
    <row r="1" ht="26" customHeight="1">
      <c r="A1" s="30" t="inlineStr">
        <is>
          <t>使い方（顧客カルテ）</t>
        </is>
      </c>
      <c r="B1" s="31" t="n"/>
    </row>
    <row r="2" ht="20" customHeight="1">
      <c r="A2" s="39" t="inlineStr">
        <is>
          <t>このファイルでできること</t>
        </is>
      </c>
      <c r="B2" s="31" t="n"/>
    </row>
    <row r="3" ht="17.5" customHeight="1">
      <c r="A3" s="40" t="inlineStr">
        <is>
          <t>顧客ごとに「いつ・誰が・何を話したか」を、対応履歴に1行ずつ足していきます。</t>
        </is>
      </c>
      <c r="B3" s="31" t="n"/>
    </row>
    <row r="4" ht="17.5" customHeight="1">
      <c r="A4" s="40" t="inlineStr">
        <is>
          <t>顧客一覧の最終対応日・対応回数・次回アクション・状況、次回アクション一覧、印刷用の顧客カルテは、対応履歴から数式で出ます。</t>
        </is>
      </c>
      <c r="B4" s="31" t="n"/>
    </row>
    <row r="5" ht="17.5" customHeight="1">
      <c r="A5" s="40" t="inlineStr">
        <is>
          <t>入力するのは黄色いセルだけです。灰色のセルは数式なので書き換えません。</t>
        </is>
      </c>
      <c r="B5" s="31" t="n"/>
    </row>
    <row r="6">
      <c r="A6" s="31" t="n"/>
      <c r="B6" s="31" t="n"/>
    </row>
    <row r="7" ht="20" customHeight="1">
      <c r="A7" s="39" t="inlineStr">
        <is>
          <t>最初の1回</t>
        </is>
      </c>
      <c r="B7" s="31" t="n"/>
    </row>
    <row r="8" ht="32" customHeight="1">
      <c r="A8" s="40" t="inlineStr">
        <is>
          <t>1. 「顧客一覧」に顧客ID・区分・会社名（氏名）・自社担当などを入れます。顧客IDは C001、C002 のように重ならない文字列にします（100件まで）。</t>
        </is>
      </c>
      <c r="B8" s="31" t="n"/>
    </row>
    <row r="9" ht="32" customHeight="1">
      <c r="A9" s="40" t="inlineStr">
        <is>
          <t>2. 集めるのは、連絡と対応に必要な項目だけにします。生年月日・家族構成・趣味など、使う予定のない情報は入れません（「個人情報の扱い」参照）。</t>
        </is>
      </c>
      <c r="B9" s="31" t="n"/>
    </row>
    <row r="10" ht="17.5" customHeight="1">
      <c r="A10" s="40" t="inlineStr">
        <is>
          <t>3. 「例_」で始まる4シートは記入例です。使い始めるときは、右クリックで削除して構いません。</t>
        </is>
      </c>
      <c r="B10" s="31" t="n"/>
    </row>
    <row r="11">
      <c r="A11" s="31" t="n"/>
      <c r="B11" s="31" t="n"/>
    </row>
    <row r="12" ht="20" customHeight="1">
      <c r="A12" s="39" t="inlineStr">
        <is>
          <t>対応のたびに</t>
        </is>
      </c>
      <c r="B12" s="31" t="n"/>
    </row>
    <row r="13" ht="17.5" customHeight="1">
      <c r="A13" s="40" t="inlineStr">
        <is>
          <t>1. 「対応履歴」の空いている次の行に、日付・顧客ID（プルダウン）・自社担当・手段・内容を入れます。</t>
        </is>
      </c>
      <c r="B13" s="31" t="n"/>
    </row>
    <row r="14" ht="17.5" customHeight="1">
      <c r="A14" s="40" t="inlineStr">
        <is>
          <t>2. 次にやることと期日を入れます。次にやることが無い（取引が終わった・断られた）ときは、次回アクションと期日を空にします。</t>
        </is>
      </c>
      <c r="B14" s="31" t="n"/>
    </row>
    <row r="15" ht="17.5" customHeight="1">
      <c r="A15" s="40" t="inlineStr">
        <is>
          <t>3. 「顧客一覧」の最終対応日・対応回数・次回アクション・状況が自動で変わります。</t>
        </is>
      </c>
      <c r="B15" s="31" t="n"/>
    </row>
    <row r="16" ht="17.5" customHeight="1">
      <c r="A16" s="40" t="inlineStr">
        <is>
          <t>内容は「誰が何を言ったか」「何が決まったか」を1〜2文で書きます。長く書くほど続かなくなります。</t>
        </is>
      </c>
      <c r="B16" s="31" t="n"/>
    </row>
    <row r="17">
      <c r="A17" s="31" t="n"/>
      <c r="B17" s="31" t="n"/>
    </row>
    <row r="18" ht="20" customHeight="1">
      <c r="A18" s="39" t="inlineStr">
        <is>
          <t>見るとき</t>
        </is>
      </c>
      <c r="B18" s="31" t="n"/>
    </row>
    <row r="19" ht="17.5" customHeight="1">
      <c r="A19" s="40" t="inlineStr">
        <is>
          <t>・顧客カルテ … C3 で顧客IDを選ぶと、基本情報と直近10件の対応履歴が出ます。A4縦1枚で印刷できます。</t>
        </is>
      </c>
      <c r="B19" s="31" t="n"/>
    </row>
    <row r="20" ht="17.5" customHeight="1">
      <c r="A20" s="40" t="inlineStr">
        <is>
          <t>・次回アクション … 期日が近い順に並びます。赤=期日超過、黄=3日以内です。基準日は今日の日付です。</t>
        </is>
      </c>
      <c r="B20" s="31" t="n"/>
    </row>
    <row r="21" ht="17.5" customHeight="1">
      <c r="A21" s="40" t="inlineStr">
        <is>
          <t>・顧客一覧の「状況」… 期日超過○日／今日／あと○日／期日未定／次回予定なし／対応履歴なし のどれかが出ます。</t>
        </is>
      </c>
      <c r="B21" s="31" t="n"/>
    </row>
    <row r="22">
      <c r="A22" s="31" t="n"/>
      <c r="B22" s="31" t="n"/>
    </row>
    <row r="23" ht="20" customHeight="1">
      <c r="A23" s="39" t="inlineStr">
        <is>
          <t>入力のルール</t>
        </is>
      </c>
      <c r="B23" s="31" t="n"/>
    </row>
    <row r="24" ht="17.5" customHeight="1">
      <c r="A24" s="40" t="inlineStr">
        <is>
          <t>・日付は日付として入れます（2026/10/1）。「10月1日」を文字で入れると、最終対応日に反映されません（入力時にエラーが出ます）。</t>
        </is>
      </c>
      <c r="B24" s="31" t="n"/>
    </row>
    <row r="25" ht="17.5" customHeight="1">
      <c r="A25" s="40" t="inlineStr">
        <is>
          <t>・同じ日に同じ顧客を2回書いたときは、下の行を新しい対応として数えます。</t>
        </is>
      </c>
      <c r="B25" s="31" t="n"/>
    </row>
    <row r="26" ht="17.5" customHeight="1">
      <c r="A26" s="40" t="inlineStr">
        <is>
          <t>・顧客IDは顧客一覧に登録したものだけ選べます。顧客一覧のIDを書き換えると、対応履歴のIDと結びつかなくなります。</t>
        </is>
      </c>
      <c r="B26" s="31" t="n"/>
    </row>
    <row r="27" ht="17.5" customHeight="1">
      <c r="A27" s="40" t="inlineStr">
        <is>
          <t>・次回アクションは、顧客ごとに「いちばん新しい対応に書いたもの」が使われます。前の対応の次回アクションを消す必要はありません。</t>
        </is>
      </c>
      <c r="B27" s="31" t="n"/>
    </row>
    <row r="28" ht="17.5" customHeight="1">
      <c r="A28" s="40" t="inlineStr">
        <is>
          <t>・行数は、顧客100件・対応履歴300件までです。超えたら、年ごとにファイルをコピーして履歴を分けるか、別の仕組みに移す時期です。</t>
        </is>
      </c>
      <c r="B28" s="31" t="n"/>
    </row>
    <row r="29" ht="17.5" customHeight="1">
      <c r="A29" s="40" t="inlineStr">
        <is>
          <t>・数式が入っている行を削除しないでください（行の中身を消すだけにします）。行を増やしたいときは、最終行の数式を下にコピーします。</t>
        </is>
      </c>
      <c r="B29" s="31" t="n"/>
    </row>
    <row r="30">
      <c r="A30" s="31" t="n"/>
      <c r="B30" s="31" t="n"/>
    </row>
    <row r="31" ht="20" customHeight="1">
      <c r="A31" s="39" t="inlineStr">
        <is>
          <t>見込み度の付け方（例・自社の基準に書き換えてください）</t>
        </is>
      </c>
      <c r="B31" s="31" t="n"/>
    </row>
    <row r="32" ht="17.5" customHeight="1">
      <c r="A32" s="40" t="inlineStr">
        <is>
          <t>A … 見積を出した／決裁者に会った／予算か時期を聞けた、のどれかがある。</t>
        </is>
      </c>
      <c r="B32" s="31" t="n"/>
    </row>
    <row r="33" ht="17.5" customHeight="1">
      <c r="A33" s="40" t="inlineStr">
        <is>
          <t>B … 困りごとや要望は聞いたが、見積・予算・時期は未確認。</t>
        </is>
      </c>
      <c r="B33" s="31" t="n"/>
    </row>
    <row r="34" ht="17.5" customHeight="1">
      <c r="A34" s="40" t="inlineStr">
        <is>
          <t>C … 問い合わせや名刺交換だけで、まだ用件を聞けていない。</t>
        </is>
      </c>
      <c r="B34" s="31" t="n"/>
    </row>
    <row r="35" ht="17.5" customHeight="1">
      <c r="A35" s="40" t="inlineStr">
        <is>
          <t>D … 半年以上動きがない／連絡がつかない。</t>
        </is>
      </c>
      <c r="B35" s="31" t="n"/>
    </row>
    <row r="36" ht="17.5" customHeight="1">
      <c r="A36" s="40" t="inlineStr">
        <is>
          <t>取引中 … すでに取引がある（来店・再注文・更新の対応中）。</t>
        </is>
      </c>
      <c r="B36" s="31" t="n"/>
    </row>
    <row r="37">
      <c r="A37" s="31" t="n"/>
      <c r="B37" s="31" t="n"/>
    </row>
    <row r="38" ht="20" customHeight="1">
      <c r="A38" s="39" t="inlineStr">
        <is>
          <t>使っている関数と対応バージョン</t>
        </is>
      </c>
      <c r="B38" s="31" t="n"/>
    </row>
    <row r="39" ht="32" customHeight="1">
      <c r="A39" s="40" t="inlineStr">
        <is>
          <t>MAXIFS … Excel 2019・2021・2024・Microsoft 365、Google スプレッドシート。Excel 2016 以前では、顧客一覧の右側の列（最終対応日・次回アクション・次回アクション日・状況）、次回アクション一覧、顧客カルテの「対応の状況」欄が #NAME? になります。</t>
        </is>
      </c>
      <c r="B39" s="31" t="n"/>
    </row>
    <row r="40" ht="32" customHeight="1">
      <c r="A40" s="40" t="inlineStr">
        <is>
          <t>COUNTIF・INDEX・MATCH・SMALL・LARGE・IF・IFERROR・TODAY … どのバージョンでも動く標準関数です。FILTER・XLOOKUP など新しい関数は使っていません。</t>
        </is>
      </c>
      <c r="B40" s="31" t="n"/>
    </row>
    <row r="41" ht="17.5" customHeight="1">
      <c r="A41" s="40" t="inlineStr">
        <is>
          <t>確認したのは LibreOffice での再計算です。Excel と Google スプレッドシートの実機では確認していません。</t>
        </is>
      </c>
      <c r="B41" s="31" t="n"/>
    </row>
    <row r="42">
      <c r="A42" s="31" t="n"/>
      <c r="B42" s="31" t="n"/>
    </row>
    <row r="43" ht="20" customHeight="1">
      <c r="A43" s="39" t="inlineStr">
        <is>
          <t>個人情報の扱い</t>
        </is>
      </c>
      <c r="B43" s="31" t="n"/>
    </row>
    <row r="44" ht="32" customHeight="1">
      <c r="A44" s="40" t="inlineStr">
        <is>
          <t>このファイルには個人情報が入ります。個人情報保護法は、個人情報データベース等を事業に使っている事業者に、人数にかかわらず適用されます（法第16条第2項）。</t>
        </is>
      </c>
      <c r="B44" s="31" t="n"/>
    </row>
    <row r="45" ht="17.5" customHeight="1">
      <c r="A45" s="40" t="inlineStr">
        <is>
          <t>・利用目的を特定する（法第17条第1項）。取得したら利用目的を本人に通知または公表する（法第21条第1項）。</t>
        </is>
      </c>
      <c r="B45" s="31" t="n"/>
    </row>
    <row r="46" ht="17.5" customHeight="1">
      <c r="A46" s="40" t="inlineStr">
        <is>
          <t>・漏えい・紛失を防ぐ安全管理措置を取る（法第23条）。従業者への監督（法第24条）、委託先への監督（法第25条）も要ります。</t>
        </is>
      </c>
      <c r="B46" s="31" t="n"/>
    </row>
    <row r="47" ht="32" customHeight="1">
      <c r="A47" s="40" t="inlineStr">
        <is>
          <t>・本人の同意なしに第三者へ渡さない（法第27条第1項）。病歴など要配慮個人情報の取得には原則として本人の同意が要ります（法第20条第2項・第2条第3項）。</t>
        </is>
      </c>
      <c r="B47" s="31" t="n"/>
    </row>
    <row r="48" ht="32" customHeight="1">
      <c r="A48" s="40" t="inlineStr">
        <is>
          <t>・具体策の例: ファイルにパスワードをかける／保存先を限定する（メールに添付しない・USBに入れない）／見られる人を決める／退職者の権限を外す／バックアップを取る。</t>
        </is>
      </c>
      <c r="B48" s="31" t="n"/>
    </row>
    <row r="49" ht="17.5" customHeight="1">
      <c r="A49" s="40" t="inlineStr">
        <is>
          <t>・利用する必要がなくなった情報は、遅滞なく消すよう努めます（法第22条）。</t>
        </is>
      </c>
      <c r="B49" s="31" t="n"/>
    </row>
    <row r="50" ht="32" customHeight="1">
      <c r="A50" s="40" t="inlineStr">
        <is>
          <t>条文は e-Gov 法令検索（個人情報の保護に関する法律）で確認できます。詳しい進め方は個人情報保護委員会のガイドラインを見てください。</t>
        </is>
      </c>
      <c r="B50" s="31" t="n"/>
    </row>
    <row r="51">
      <c r="A51" s="31" t="n"/>
      <c r="B51" s="31" t="n"/>
    </row>
    <row r="52" ht="20" customHeight="1">
      <c r="A52" s="39" t="inlineStr">
        <is>
          <t>色の意味</t>
        </is>
      </c>
      <c r="B52" s="31" t="n"/>
    </row>
    <row r="53" ht="17.5" customHeight="1">
      <c r="A53" s="40" t="inlineStr">
        <is>
          <t>黄色 … 入力するセル／灰色 … 数式（書き換えない）／赤 … 期日超過／薄い黄 … 期日まで3日以内（次回アクション一覧）</t>
        </is>
      </c>
      <c r="B53" s="31" t="n"/>
    </row>
  </sheetData>
  <mergeCells count="45">
    <mergeCell ref="A48:B48"/>
    <mergeCell ref="A24:B24"/>
    <mergeCell ref="A15:B15"/>
    <mergeCell ref="A49:B49"/>
    <mergeCell ref="A45:B45"/>
    <mergeCell ref="A36:B36"/>
    <mergeCell ref="A1:B1"/>
    <mergeCell ref="A16:B16"/>
    <mergeCell ref="A7:B7"/>
    <mergeCell ref="A25:B25"/>
    <mergeCell ref="A41:B41"/>
    <mergeCell ref="A46:B46"/>
    <mergeCell ref="A18:B18"/>
    <mergeCell ref="A27:B27"/>
    <mergeCell ref="A3:B3"/>
    <mergeCell ref="A12:B12"/>
    <mergeCell ref="A50:B50"/>
    <mergeCell ref="A26:B26"/>
    <mergeCell ref="A21:B21"/>
    <mergeCell ref="A2:B2"/>
    <mergeCell ref="A33:B33"/>
    <mergeCell ref="A47:B47"/>
    <mergeCell ref="A5:B5"/>
    <mergeCell ref="A32:B32"/>
    <mergeCell ref="A14:B14"/>
    <mergeCell ref="A23:B23"/>
    <mergeCell ref="A8:B8"/>
    <mergeCell ref="A53:B53"/>
    <mergeCell ref="A35:B35"/>
    <mergeCell ref="A4:B4"/>
    <mergeCell ref="A20:B20"/>
    <mergeCell ref="A38:B38"/>
    <mergeCell ref="A29:B29"/>
    <mergeCell ref="A52:B52"/>
    <mergeCell ref="A43:B43"/>
    <mergeCell ref="A19:B19"/>
    <mergeCell ref="A10:B10"/>
    <mergeCell ref="A28:B28"/>
    <mergeCell ref="A13:B13"/>
    <mergeCell ref="A44:B44"/>
    <mergeCell ref="A40:B40"/>
    <mergeCell ref="A9:B9"/>
    <mergeCell ref="A31:B31"/>
    <mergeCell ref="A39:B39"/>
    <mergeCell ref="A34:B3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2026-09-30T13:41:28Z</dcterms:created>
  <dcterms:modified xmlns:dcterms="http://purl.org/dc/terms/" xmlns:xsi="http://www.w3.org/2001/XMLSchema-instance" xsi:type="dcterms:W3CDTF">2026-09-30T13:41:32Z</dcterms:modified>
</cp:coreProperties>
</file>