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発注リスト" sheetId="2" state="visible" r:id="rId2"/>
    <sheet xmlns:r="http://schemas.openxmlformats.org/officeDocument/2006/relationships" name="取引先マスタ" sheetId="3" state="visible" r:id="rId3"/>
    <sheet xmlns:r="http://schemas.openxmlformats.org/officeDocument/2006/relationships" name="案件マスタ" sheetId="4" state="visible" r:id="rId4"/>
    <sheet xmlns:r="http://schemas.openxmlformats.org/officeDocument/2006/relationships" name="進捗ダッシュボード" sheetId="5" state="visible" r:id="rId5"/>
    <sheet xmlns:r="http://schemas.openxmlformats.org/officeDocument/2006/relationships" name="凡例" sheetId="6" state="visible" r:id="rId6"/>
  </sheets>
  <definedNames>
    <definedName name="_xlnm.Print_Area" localSheetId="1">'発注リスト'!$A$1:$P$158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&quot;年&quot;m&quot;月&quot;d&quot;日&quot;"/>
    <numFmt numFmtId="165" formatCode="yyyy/m/d"/>
    <numFmt numFmtId="166" formatCode="¥#,##0"/>
    <numFmt numFmtId="167" formatCode="0.0%"/>
  </numFmts>
  <fonts count="16">
    <font>
      <name val="Calibri"/>
      <family val="2"/>
      <color theme="1"/>
      <sz val="11"/>
      <scheme val="minor"/>
    </font>
    <font>
      <name val="ＭＳ Ｐゴシック"/>
      <b val="1"/>
      <color rgb="001F4E79"/>
      <sz val="18"/>
    </font>
    <font>
      <name val="ＭＳ Ｐゴシック"/>
      <color rgb="00000000"/>
      <sz val="10.5"/>
    </font>
    <font>
      <name val="ＭＳ Ｐゴシック"/>
      <b val="1"/>
      <color rgb="002E74B5"/>
      <sz val="12"/>
    </font>
    <font>
      <name val="ＭＳ Ｐゴシック"/>
      <b val="1"/>
      <color rgb="00000000"/>
      <sz val="20"/>
    </font>
    <font>
      <name val="ＭＳ Ｐゴシック"/>
      <b val="1"/>
      <color rgb="00000000"/>
      <sz val="11"/>
    </font>
    <font>
      <name val="ＭＳ Ｐゴシック"/>
      <b val="1"/>
      <color rgb="00FFFFFF"/>
      <sz val="10"/>
    </font>
    <font>
      <name val="ＭＳ Ｐゴシック"/>
      <color rgb="00000000"/>
      <sz val="9.5"/>
    </font>
    <font>
      <name val="ＭＳ Ｐゴシック"/>
      <b val="1"/>
    </font>
    <font>
      <name val="ＭＳ Ｐゴシック"/>
      <b val="1"/>
      <color rgb="00C0392B"/>
      <sz val="12"/>
    </font>
    <font>
      <name val="ＭＳ Ｐゴシック"/>
      <b val="1"/>
      <color rgb="00C0392B"/>
      <sz val="14"/>
    </font>
    <font>
      <name val="ＭＳ Ｐゴシック"/>
      <b val="1"/>
      <color rgb="00FFFFFF"/>
      <sz val="11"/>
    </font>
    <font>
      <name val="ＭＳ Ｐゴシック"/>
      <color rgb="00000000"/>
      <sz val="10"/>
    </font>
    <font>
      <name val="ＭＳ Ｐゴシック"/>
      <b val="1"/>
      <color rgb="002E74B5"/>
      <sz val="13"/>
    </font>
    <font>
      <name val="ＭＳ Ｐゴシック"/>
      <b val="1"/>
      <color rgb="0027AE60"/>
      <sz val="16"/>
    </font>
    <font>
      <name val="ＭＳ Ｐゴシック"/>
      <b val="1"/>
      <color rgb="001F4E79"/>
      <sz val="14"/>
    </font>
  </fonts>
  <fills count="9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4A6FA5"/>
      </patternFill>
    </fill>
    <fill>
      <patternFill patternType="solid">
        <fgColor rgb="00F8F9FA"/>
      </patternFill>
    </fill>
    <fill>
      <patternFill patternType="solid">
        <fgColor rgb="00FFF9E6"/>
      </patternFill>
    </fill>
    <fill>
      <patternFill patternType="solid">
        <fgColor rgb="00D4EDDA"/>
      </patternFill>
    </fill>
    <fill>
      <patternFill patternType="solid">
        <fgColor rgb="00FFF3CD"/>
      </patternFill>
    </fill>
    <fill>
      <patternFill patternType="solid">
        <fgColor rgb="00F8D7DA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165" fontId="7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 wrapText="1"/>
    </xf>
    <xf numFmtId="3" fontId="7" fillId="0" borderId="1" applyAlignment="1" pivotButton="0" quotePrefix="0" xfId="0">
      <alignment horizontal="right" vertical="center" wrapText="1"/>
    </xf>
    <xf numFmtId="0" fontId="8" fillId="4" borderId="2" applyAlignment="1" pivotButton="0" quotePrefix="0" xfId="0">
      <alignment horizontal="right" vertical="center" wrapText="1"/>
    </xf>
    <xf numFmtId="0" fontId="0" fillId="0" borderId="2" applyAlignment="1" pivotButton="0" quotePrefix="0" xfId="0">
      <alignment horizontal="right" vertical="center" wrapText="1"/>
    </xf>
    <xf numFmtId="166" fontId="0" fillId="0" borderId="2" applyAlignment="1" pivotButton="0" quotePrefix="0" xfId="0">
      <alignment horizontal="right" vertical="center" wrapText="1"/>
    </xf>
    <xf numFmtId="0" fontId="9" fillId="4" borderId="2" applyAlignment="1" pivotButton="0" quotePrefix="0" xfId="0">
      <alignment horizontal="right" vertical="center" wrapText="1"/>
    </xf>
    <xf numFmtId="166" fontId="10" fillId="0" borderId="2" applyAlignment="1" pivotButton="0" quotePrefix="0" xfId="0">
      <alignment horizontal="right" vertical="center" wrapText="1"/>
    </xf>
    <xf numFmtId="0" fontId="11" fillId="3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166" fontId="2" fillId="0" borderId="1" applyAlignment="1" pivotButton="0" quotePrefix="0" xfId="0">
      <alignment horizontal="right" vertical="center" wrapText="1"/>
    </xf>
    <xf numFmtId="0" fontId="13" fillId="0" borderId="0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167" fontId="14" fillId="5" borderId="2" applyAlignment="1" pivotButton="0" quotePrefix="0" xfId="0">
      <alignment horizontal="right" vertical="center" wrapText="1"/>
    </xf>
    <xf numFmtId="0" fontId="15" fillId="0" borderId="0" pivotButton="0" quotePrefix="0" xfId="0"/>
    <xf numFmtId="0" fontId="5" fillId="0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center" vertical="center" wrapText="1"/>
    </xf>
    <xf numFmtId="0" fontId="5" fillId="7" borderId="0" applyAlignment="1" pivotButton="0" quotePrefix="0" xfId="0">
      <alignment horizontal="center" vertical="center" wrapText="1"/>
    </xf>
    <xf numFmtId="0" fontId="5" fillId="8" borderId="0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FF3CD"/>
        </patternFill>
      </fill>
    </dxf>
    <dxf>
      <fill>
        <patternFill patternType="solid">
          <fgColor rgb="00D4ED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1"/>
  <sheetViews>
    <sheetView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2">
      <c r="B2" s="1" t="inlineStr">
        <is>
          <t>発注リスト 完全版 — 使い方ガイド</t>
        </is>
      </c>
    </row>
    <row r="3">
      <c r="B3" s="2" t="inlineStr"/>
    </row>
    <row r="4">
      <c r="B4" s="3" t="inlineStr">
        <is>
          <t>【シート構成】</t>
        </is>
      </c>
    </row>
    <row r="5">
      <c r="B5" s="2" t="inlineStr">
        <is>
          <t xml:space="preserve">  ① 使い方           : このシート（最初に必ずお読みください）</t>
        </is>
      </c>
    </row>
    <row r="6">
      <c r="B6" s="2" t="inlineStr">
        <is>
          <t xml:space="preserve">  ② 発注リスト        : メインの発注一覧（150行・複数取引先×案件の進捗管理）</t>
        </is>
      </c>
    </row>
    <row r="7">
      <c r="B7" s="2" t="inlineStr">
        <is>
          <t xml:space="preserve">  ③ 取引先マスタ      : 50社の取引先情報マスタ（VLOOKUP連携元）</t>
        </is>
      </c>
    </row>
    <row r="8">
      <c r="B8" s="2" t="inlineStr">
        <is>
          <t xml:space="preserve">  ④ 案件マスタ        : 3案件の案件情報マスタ（VLOOKUP連携元）</t>
        </is>
      </c>
    </row>
    <row r="9">
      <c r="B9" s="2" t="inlineStr">
        <is>
          <t xml:space="preserve">  ⑤ 進捗ダッシュボード : ステータス別集計／取引先別金額集計／案件別集計</t>
        </is>
      </c>
    </row>
    <row r="10">
      <c r="B10" s="2" t="inlineStr">
        <is>
          <t xml:space="preserve">  ⑥ 凡例              : ステータス記号と色の意味</t>
        </is>
      </c>
    </row>
    <row r="11">
      <c r="B11" s="2" t="inlineStr"/>
    </row>
    <row r="12">
      <c r="B12" s="3" t="inlineStr">
        <is>
          <t>【入力ルール】</t>
        </is>
      </c>
    </row>
    <row r="13">
      <c r="B13" s="2" t="inlineStr">
        <is>
          <t xml:space="preserve">  • 取引先コード（V001〜V050）を入れると、社名・担当者・連絡先が自動表示</t>
        </is>
      </c>
    </row>
    <row r="14">
      <c r="B14" s="2" t="inlineStr">
        <is>
          <t xml:space="preserve">  • 案件コード（P001〜P003）を入れると、案件名・予算が自動表示</t>
        </is>
      </c>
    </row>
    <row r="15">
      <c r="B15" s="2" t="inlineStr">
        <is>
          <t xml:space="preserve">  • ステータス列はドロップダウン（未発注/発注済/納品待ち/検収済/完了/保留）</t>
        </is>
      </c>
    </row>
    <row r="16">
      <c r="B16" s="2" t="inlineStr">
        <is>
          <t xml:space="preserve">  • 金額列に「数量×単価」を入れると、合計（税込）が自動計算（10%/8%/非課税対応）</t>
        </is>
      </c>
    </row>
    <row r="17">
      <c r="B17" s="2" t="inlineStr">
        <is>
          <t xml:space="preserve">  • 発注日・希望納期・実際納期は日付セル。遅延ありは自動で赤マーク</t>
        </is>
      </c>
    </row>
    <row r="18">
      <c r="B18" s="2" t="inlineStr"/>
    </row>
    <row r="19">
      <c r="B19" s="3" t="inlineStr">
        <is>
          <t>【便利機能】</t>
        </is>
      </c>
    </row>
    <row r="20">
      <c r="B20" s="2" t="inlineStr">
        <is>
          <t xml:space="preserve">  • 発注済件数・金額合計・遅延件数はダッシュボードで自動集計</t>
        </is>
      </c>
    </row>
    <row r="21">
      <c r="B21" s="2" t="inlineStr">
        <is>
          <t xml:space="preserve">  • SUMIFS で取引先別／案件別／ステータス別 集計済み</t>
        </is>
      </c>
    </row>
    <row r="22">
      <c r="B22" s="2" t="inlineStr">
        <is>
          <t xml:space="preserve">  • 進捗率（=検収済以上の件数 ÷ 全件数）も自動算出</t>
        </is>
      </c>
    </row>
    <row r="23">
      <c r="B23" s="2" t="inlineStr">
        <is>
          <t xml:space="preserve">  • A4横サイズで印刷可能（fitToPage 設定済）</t>
        </is>
      </c>
    </row>
    <row r="24">
      <c r="B24" s="2" t="inlineStr"/>
    </row>
    <row r="25">
      <c r="B25" s="3" t="inlineStr">
        <is>
          <t>【こんなときに】</t>
        </is>
      </c>
    </row>
    <row r="26">
      <c r="B26" s="2" t="inlineStr">
        <is>
          <t xml:space="preserve">  • 複数案件を並行して進める購買担当</t>
        </is>
      </c>
    </row>
    <row r="27">
      <c r="B27" s="2" t="inlineStr">
        <is>
          <t xml:space="preserve">  • 発注先50社程度を一元管理したいバックオフィス</t>
        </is>
      </c>
    </row>
    <row r="28">
      <c r="B28" s="2" t="inlineStr">
        <is>
          <t xml:space="preserve">  • 月次／週次で進捗を可視化したい管理職</t>
        </is>
      </c>
    </row>
    <row r="29">
      <c r="B29" s="2" t="inlineStr"/>
    </row>
    <row r="30">
      <c r="B30" s="3" t="inlineStr">
        <is>
          <t>【著作権・利用条件】</t>
        </is>
      </c>
    </row>
    <row r="31">
      <c r="B31" s="2" t="inlineStr">
        <is>
          <t xml:space="preserve">  • 商用利用OK、再配布禁止（template-free.jp ライセンス準拠）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P15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1" customWidth="1" min="2" max="2"/>
    <col width="12" customWidth="1" min="3" max="3"/>
    <col width="18" customWidth="1" min="4" max="4"/>
    <col width="11" customWidth="1" min="5" max="5"/>
    <col width="18" customWidth="1" min="6" max="6"/>
    <col width="22" customWidth="1" min="7" max="7"/>
    <col width="8" customWidth="1" min="8" max="8"/>
    <col width="10" customWidth="1" min="9" max="9"/>
    <col width="12" customWidth="1" min="10" max="10"/>
    <col width="11" customWidth="1" min="11" max="11"/>
    <col width="11" customWidth="1" min="12" max="12"/>
    <col width="11" customWidth="1" min="13" max="13"/>
    <col width="11" customWidth="1" min="14" max="14"/>
    <col width="12" customWidth="1" min="15" max="15"/>
    <col width="18" customWidth="1" min="16" max="16"/>
  </cols>
  <sheetData>
    <row r="1" ht="32" customHeight="1">
      <c r="A1" s="4" t="inlineStr">
        <is>
          <t>発　注　リ　ス　ト</t>
        </is>
      </c>
    </row>
    <row r="2">
      <c r="A2" s="5" t="inlineStr">
        <is>
          <t>管理担当</t>
        </is>
      </c>
      <c r="B2" s="6" t="inlineStr">
        <is>
          <t>購買部 山田太郎</t>
        </is>
      </c>
      <c r="E2" s="5" t="inlineStr">
        <is>
          <t>更新日</t>
        </is>
      </c>
      <c r="F2" s="7">
        <f>TODAY()</f>
        <v/>
      </c>
      <c r="I2" s="5" t="inlineStr">
        <is>
          <t>社内承認者</t>
        </is>
      </c>
      <c r="J2" s="6" t="inlineStr">
        <is>
          <t>購買部長 鈴木一郎</t>
        </is>
      </c>
    </row>
    <row r="3" ht="28" customHeight="1">
      <c r="A3" s="8" t="inlineStr">
        <is>
          <t>No.</t>
        </is>
      </c>
      <c r="B3" s="8" t="inlineStr">
        <is>
          <t>発注日</t>
        </is>
      </c>
      <c r="C3" s="8" t="inlineStr">
        <is>
          <t>取引先コード</t>
        </is>
      </c>
      <c r="D3" s="8" t="inlineStr">
        <is>
          <t>取引先名</t>
        </is>
      </c>
      <c r="E3" s="8" t="inlineStr">
        <is>
          <t>案件コード</t>
        </is>
      </c>
      <c r="F3" s="8" t="inlineStr">
        <is>
          <t>案件名</t>
        </is>
      </c>
      <c r="G3" s="8" t="inlineStr">
        <is>
          <t>品名・仕様</t>
        </is>
      </c>
      <c r="H3" s="8" t="inlineStr">
        <is>
          <t>単位</t>
        </is>
      </c>
      <c r="I3" s="8" t="inlineStr">
        <is>
          <t>数量</t>
        </is>
      </c>
      <c r="J3" s="8" t="inlineStr">
        <is>
          <t>単価</t>
        </is>
      </c>
      <c r="K3" s="8" t="inlineStr">
        <is>
          <t>金額(税抜)</t>
        </is>
      </c>
      <c r="L3" s="8" t="inlineStr">
        <is>
          <t>税区分</t>
        </is>
      </c>
      <c r="M3" s="8" t="inlineStr">
        <is>
          <t>希望納期</t>
        </is>
      </c>
      <c r="N3" s="8" t="inlineStr">
        <is>
          <t>実際納期</t>
        </is>
      </c>
      <c r="O3" s="8" t="inlineStr">
        <is>
          <t>ステータス</t>
        </is>
      </c>
      <c r="P3" s="8" t="inlineStr">
        <is>
          <t>備考</t>
        </is>
      </c>
    </row>
    <row r="4">
      <c r="A4" s="9" t="n">
        <v>1</v>
      </c>
      <c r="B4" s="10">
        <f>DATE(2026,1,1)</f>
        <v/>
      </c>
      <c r="C4" s="9" t="inlineStr">
        <is>
          <t>V001</t>
        </is>
      </c>
      <c r="D4" s="11">
        <f>IFERROR(VLOOKUP(C4,取引先マスタ!A:E,2,FALSE),"")</f>
        <v/>
      </c>
      <c r="E4" s="9" t="inlineStr">
        <is>
          <t>P001</t>
        </is>
      </c>
      <c r="F4" s="11">
        <f>IFERROR(VLOOKUP(E4,案件マスタ!A:D,2,FALSE),"")</f>
        <v/>
      </c>
      <c r="G4" s="11" t="inlineStr">
        <is>
          <t>文具一式</t>
        </is>
      </c>
      <c r="H4" s="9" t="inlineStr">
        <is>
          <t>式</t>
        </is>
      </c>
      <c r="I4" s="9" t="n">
        <v>1</v>
      </c>
      <c r="J4" s="12" t="n">
        <v>12000</v>
      </c>
      <c r="K4" s="12">
        <f>IF(AND(I4&lt;&gt;"",J4&lt;&gt;""),I4*J4,"")</f>
        <v/>
      </c>
      <c r="L4" s="9" t="inlineStr">
        <is>
          <t>10%</t>
        </is>
      </c>
      <c r="M4" s="10">
        <f>B4+14</f>
        <v/>
      </c>
      <c r="N4" s="10">
        <f>B4+18</f>
        <v/>
      </c>
      <c r="O4" s="9" t="inlineStr">
        <is>
          <t>未発注</t>
        </is>
      </c>
      <c r="P4" s="11" t="inlineStr">
        <is>
          <t>—</t>
        </is>
      </c>
    </row>
    <row r="5">
      <c r="A5" s="9" t="n">
        <v>2</v>
      </c>
      <c r="B5" s="10">
        <f>DATE(2026,2,2)</f>
        <v/>
      </c>
      <c r="C5" s="9" t="inlineStr">
        <is>
          <t>V001</t>
        </is>
      </c>
      <c r="D5" s="11">
        <f>IFERROR(VLOOKUP(C5,取引先マスタ!A:E,2,FALSE),"")</f>
        <v/>
      </c>
      <c r="E5" s="9" t="inlineStr">
        <is>
          <t>P002</t>
        </is>
      </c>
      <c r="F5" s="11">
        <f>IFERROR(VLOOKUP(E5,案件マスタ!A:D,2,FALSE),"")</f>
        <v/>
      </c>
      <c r="G5" s="11" t="inlineStr">
        <is>
          <t>オフィスチェア</t>
        </is>
      </c>
      <c r="H5" s="9" t="inlineStr">
        <is>
          <t>脚</t>
        </is>
      </c>
      <c r="I5" s="9" t="n">
        <v>4</v>
      </c>
      <c r="J5" s="12" t="n">
        <v>28000</v>
      </c>
      <c r="K5" s="12">
        <f>IF(AND(I5&lt;&gt;"",J5&lt;&gt;""),I5*J5,"")</f>
        <v/>
      </c>
      <c r="L5" s="9" t="inlineStr">
        <is>
          <t>10%</t>
        </is>
      </c>
      <c r="M5" s="10">
        <f>B5+14</f>
        <v/>
      </c>
      <c r="N5" s="11" t="n"/>
      <c r="O5" s="9" t="inlineStr">
        <is>
          <t>発注済</t>
        </is>
      </c>
      <c r="P5" s="11" t="inlineStr">
        <is>
          <t>—</t>
        </is>
      </c>
    </row>
    <row r="6">
      <c r="A6" s="9" t="n">
        <v>3</v>
      </c>
      <c r="B6" s="10">
        <f>DATE(2026,3,3)</f>
        <v/>
      </c>
      <c r="C6" s="9" t="inlineStr">
        <is>
          <t>V001</t>
        </is>
      </c>
      <c r="D6" s="11">
        <f>IFERROR(VLOOKUP(C6,取引先マスタ!A:E,2,FALSE),"")</f>
        <v/>
      </c>
      <c r="E6" s="9" t="inlineStr">
        <is>
          <t>P003</t>
        </is>
      </c>
      <c r="F6" s="11">
        <f>IFERROR(VLOOKUP(E6,案件マスタ!A:D,2,FALSE),"")</f>
        <v/>
      </c>
      <c r="G6" s="11" t="inlineStr">
        <is>
          <t>プリンター用紙</t>
        </is>
      </c>
      <c r="H6" s="9" t="inlineStr">
        <is>
          <t>箱</t>
        </is>
      </c>
      <c r="I6" s="9" t="n">
        <v>10</v>
      </c>
      <c r="J6" s="12" t="n">
        <v>3200</v>
      </c>
      <c r="K6" s="12">
        <f>IF(AND(I6&lt;&gt;"",J6&lt;&gt;""),I6*J6,"")</f>
        <v/>
      </c>
      <c r="L6" s="9" t="inlineStr">
        <is>
          <t>10%</t>
        </is>
      </c>
      <c r="M6" s="10">
        <f>B6+14</f>
        <v/>
      </c>
      <c r="N6" s="11" t="n"/>
      <c r="O6" s="9" t="inlineStr">
        <is>
          <t>納品待ち</t>
        </is>
      </c>
      <c r="P6" s="11" t="inlineStr">
        <is>
          <t>—</t>
        </is>
      </c>
    </row>
    <row r="7">
      <c r="A7" s="9" t="n">
        <v>4</v>
      </c>
      <c r="B7" s="10">
        <f>DATE(2026,4,4)</f>
        <v/>
      </c>
      <c r="C7" s="9" t="inlineStr">
        <is>
          <t>V002</t>
        </is>
      </c>
      <c r="D7" s="11">
        <f>IFERROR(VLOOKUP(C7,取引先マスタ!A:E,2,FALSE),"")</f>
        <v/>
      </c>
      <c r="E7" s="9" t="inlineStr">
        <is>
          <t>P001</t>
        </is>
      </c>
      <c r="F7" s="11">
        <f>IFERROR(VLOOKUP(E7,案件マスタ!A:D,2,FALSE),"")</f>
        <v/>
      </c>
      <c r="G7" s="11" t="inlineStr">
        <is>
          <t>オフィスチェア</t>
        </is>
      </c>
      <c r="H7" s="9" t="inlineStr">
        <is>
          <t>脚</t>
        </is>
      </c>
      <c r="I7" s="9" t="n">
        <v>4</v>
      </c>
      <c r="J7" s="12" t="n">
        <v>28000</v>
      </c>
      <c r="K7" s="12">
        <f>IF(AND(I7&lt;&gt;"",J7&lt;&gt;""),I7*J7,"")</f>
        <v/>
      </c>
      <c r="L7" s="9" t="inlineStr">
        <is>
          <t>10%</t>
        </is>
      </c>
      <c r="M7" s="10">
        <f>B7+14</f>
        <v/>
      </c>
      <c r="N7" s="11" t="n"/>
      <c r="O7" s="9" t="inlineStr">
        <is>
          <t>発注済</t>
        </is>
      </c>
      <c r="P7" s="11" t="inlineStr">
        <is>
          <t>—</t>
        </is>
      </c>
    </row>
    <row r="8">
      <c r="A8" s="9" t="n">
        <v>5</v>
      </c>
      <c r="B8" s="10">
        <f>DATE(2026,5,5)</f>
        <v/>
      </c>
      <c r="C8" s="9" t="inlineStr">
        <is>
          <t>V002</t>
        </is>
      </c>
      <c r="D8" s="11">
        <f>IFERROR(VLOOKUP(C8,取引先マスタ!A:E,2,FALSE),"")</f>
        <v/>
      </c>
      <c r="E8" s="9" t="inlineStr">
        <is>
          <t>P002</t>
        </is>
      </c>
      <c r="F8" s="11">
        <f>IFERROR(VLOOKUP(E8,案件マスタ!A:D,2,FALSE),"")</f>
        <v/>
      </c>
      <c r="G8" s="11" t="inlineStr">
        <is>
          <t>プリンター用紙</t>
        </is>
      </c>
      <c r="H8" s="9" t="inlineStr">
        <is>
          <t>箱</t>
        </is>
      </c>
      <c r="I8" s="9" t="n">
        <v>10</v>
      </c>
      <c r="J8" s="12" t="n">
        <v>3200</v>
      </c>
      <c r="K8" s="12">
        <f>IF(AND(I8&lt;&gt;"",J8&lt;&gt;""),I8*J8,"")</f>
        <v/>
      </c>
      <c r="L8" s="9" t="inlineStr">
        <is>
          <t>10%</t>
        </is>
      </c>
      <c r="M8" s="10">
        <f>B8+14</f>
        <v/>
      </c>
      <c r="N8" s="10">
        <f>B8+18</f>
        <v/>
      </c>
      <c r="O8" s="9" t="inlineStr">
        <is>
          <t>納品待ち</t>
        </is>
      </c>
      <c r="P8" s="11" t="inlineStr">
        <is>
          <t>—</t>
        </is>
      </c>
    </row>
    <row r="9">
      <c r="A9" s="9" t="n">
        <v>6</v>
      </c>
      <c r="B9" s="10">
        <f>DATE(2026,6,6)</f>
        <v/>
      </c>
      <c r="C9" s="9" t="inlineStr">
        <is>
          <t>V002</t>
        </is>
      </c>
      <c r="D9" s="11">
        <f>IFERROR(VLOOKUP(C9,取引先マスタ!A:E,2,FALSE),"")</f>
        <v/>
      </c>
      <c r="E9" s="9" t="inlineStr">
        <is>
          <t>P003</t>
        </is>
      </c>
      <c r="F9" s="11">
        <f>IFERROR(VLOOKUP(E9,案件マスタ!A:D,2,FALSE),"")</f>
        <v/>
      </c>
      <c r="G9" s="11" t="inlineStr">
        <is>
          <t>ノートPC</t>
        </is>
      </c>
      <c r="H9" s="9" t="inlineStr">
        <is>
          <t>台</t>
        </is>
      </c>
      <c r="I9" s="9" t="n">
        <v>2</v>
      </c>
      <c r="J9" s="12" t="n">
        <v>145000</v>
      </c>
      <c r="K9" s="12">
        <f>IF(AND(I9&lt;&gt;"",J9&lt;&gt;""),I9*J9,"")</f>
        <v/>
      </c>
      <c r="L9" s="9" t="inlineStr">
        <is>
          <t>10%</t>
        </is>
      </c>
      <c r="M9" s="10">
        <f>B9+14</f>
        <v/>
      </c>
      <c r="N9" s="11" t="n"/>
      <c r="O9" s="9" t="inlineStr">
        <is>
          <t>検収済</t>
        </is>
      </c>
      <c r="P9" s="11" t="inlineStr">
        <is>
          <t>—</t>
        </is>
      </c>
    </row>
    <row r="10">
      <c r="A10" s="9" t="n">
        <v>7</v>
      </c>
      <c r="B10" s="10">
        <f>DATE(2026,7,7)</f>
        <v/>
      </c>
      <c r="C10" s="9" t="inlineStr">
        <is>
          <t>V003</t>
        </is>
      </c>
      <c r="D10" s="11">
        <f>IFERROR(VLOOKUP(C10,取引先マスタ!A:E,2,FALSE),"")</f>
        <v/>
      </c>
      <c r="E10" s="9" t="inlineStr">
        <is>
          <t>P001</t>
        </is>
      </c>
      <c r="F10" s="11">
        <f>IFERROR(VLOOKUP(E10,案件マスタ!A:D,2,FALSE),"")</f>
        <v/>
      </c>
      <c r="G10" s="11" t="inlineStr">
        <is>
          <t>プリンター用紙</t>
        </is>
      </c>
      <c r="H10" s="9" t="inlineStr">
        <is>
          <t>箱</t>
        </is>
      </c>
      <c r="I10" s="9" t="n">
        <v>10</v>
      </c>
      <c r="J10" s="12" t="n">
        <v>3200</v>
      </c>
      <c r="K10" s="12">
        <f>IF(AND(I10&lt;&gt;"",J10&lt;&gt;""),I10*J10,"")</f>
        <v/>
      </c>
      <c r="L10" s="9" t="inlineStr">
        <is>
          <t>10%</t>
        </is>
      </c>
      <c r="M10" s="10">
        <f>B10+14</f>
        <v/>
      </c>
      <c r="N10" s="11" t="n"/>
      <c r="O10" s="9" t="inlineStr">
        <is>
          <t>納品待ち</t>
        </is>
      </c>
      <c r="P10" s="11" t="inlineStr">
        <is>
          <t>—</t>
        </is>
      </c>
    </row>
    <row r="11">
      <c r="A11" s="9" t="n">
        <v>8</v>
      </c>
      <c r="B11" s="10">
        <f>DATE(2026,8,8)</f>
        <v/>
      </c>
      <c r="C11" s="9" t="inlineStr">
        <is>
          <t>V003</t>
        </is>
      </c>
      <c r="D11" s="11">
        <f>IFERROR(VLOOKUP(C11,取引先マスタ!A:E,2,FALSE),"")</f>
        <v/>
      </c>
      <c r="E11" s="9" t="inlineStr">
        <is>
          <t>P002</t>
        </is>
      </c>
      <c r="F11" s="11">
        <f>IFERROR(VLOOKUP(E11,案件マスタ!A:D,2,FALSE),"")</f>
        <v/>
      </c>
      <c r="G11" s="11" t="inlineStr">
        <is>
          <t>ノートPC</t>
        </is>
      </c>
      <c r="H11" s="9" t="inlineStr">
        <is>
          <t>台</t>
        </is>
      </c>
      <c r="I11" s="9" t="n">
        <v>2</v>
      </c>
      <c r="J11" s="12" t="n">
        <v>145000</v>
      </c>
      <c r="K11" s="12">
        <f>IF(AND(I11&lt;&gt;"",J11&lt;&gt;""),I11*J11,"")</f>
        <v/>
      </c>
      <c r="L11" s="9" t="inlineStr">
        <is>
          <t>10%</t>
        </is>
      </c>
      <c r="M11" s="10">
        <f>B11+14</f>
        <v/>
      </c>
      <c r="N11" s="11" t="n"/>
      <c r="O11" s="9" t="inlineStr">
        <is>
          <t>検収済</t>
        </is>
      </c>
      <c r="P11" s="11" t="inlineStr">
        <is>
          <t>—</t>
        </is>
      </c>
    </row>
    <row r="12">
      <c r="A12" s="9" t="n">
        <v>9</v>
      </c>
      <c r="B12" s="10">
        <f>DATE(2026,9,9)</f>
        <v/>
      </c>
      <c r="C12" s="9" t="inlineStr">
        <is>
          <t>V003</t>
        </is>
      </c>
      <c r="D12" s="11">
        <f>IFERROR(VLOOKUP(C12,取引先マスタ!A:E,2,FALSE),"")</f>
        <v/>
      </c>
      <c r="E12" s="9" t="inlineStr">
        <is>
          <t>P003</t>
        </is>
      </c>
      <c r="F12" s="11">
        <f>IFERROR(VLOOKUP(E12,案件マスタ!A:D,2,FALSE),"")</f>
        <v/>
      </c>
      <c r="G12" s="11" t="inlineStr">
        <is>
          <t>外付けHDD 4TB</t>
        </is>
      </c>
      <c r="H12" s="9" t="inlineStr">
        <is>
          <t>台</t>
        </is>
      </c>
      <c r="I12" s="9" t="n">
        <v>3</v>
      </c>
      <c r="J12" s="12" t="n">
        <v>9800</v>
      </c>
      <c r="K12" s="12">
        <f>IF(AND(I12&lt;&gt;"",J12&lt;&gt;""),I12*J12,"")</f>
        <v/>
      </c>
      <c r="L12" s="9" t="inlineStr">
        <is>
          <t>10%</t>
        </is>
      </c>
      <c r="M12" s="10">
        <f>B12+14</f>
        <v/>
      </c>
      <c r="N12" s="10">
        <f>B12+18</f>
        <v/>
      </c>
      <c r="O12" s="9" t="inlineStr">
        <is>
          <t>完了</t>
        </is>
      </c>
      <c r="P12" s="11" t="inlineStr">
        <is>
          <t>—</t>
        </is>
      </c>
    </row>
    <row r="13">
      <c r="A13" s="9" t="n">
        <v>10</v>
      </c>
      <c r="B13" s="10">
        <f>DATE(2026,10,10)</f>
        <v/>
      </c>
      <c r="C13" s="9" t="inlineStr">
        <is>
          <t>V004</t>
        </is>
      </c>
      <c r="D13" s="11">
        <f>IFERROR(VLOOKUP(C13,取引先マスタ!A:E,2,FALSE),"")</f>
        <v/>
      </c>
      <c r="E13" s="9" t="inlineStr">
        <is>
          <t>P001</t>
        </is>
      </c>
      <c r="F13" s="11">
        <f>IFERROR(VLOOKUP(E13,案件マスタ!A:D,2,FALSE),"")</f>
        <v/>
      </c>
      <c r="G13" s="11" t="inlineStr">
        <is>
          <t>ノートPC</t>
        </is>
      </c>
      <c r="H13" s="9" t="inlineStr">
        <is>
          <t>台</t>
        </is>
      </c>
      <c r="I13" s="9" t="n">
        <v>2</v>
      </c>
      <c r="J13" s="12" t="n">
        <v>145000</v>
      </c>
      <c r="K13" s="12">
        <f>IF(AND(I13&lt;&gt;"",J13&lt;&gt;""),I13*J13,"")</f>
        <v/>
      </c>
      <c r="L13" s="9" t="inlineStr">
        <is>
          <t>10%</t>
        </is>
      </c>
      <c r="M13" s="10">
        <f>B13+14</f>
        <v/>
      </c>
      <c r="N13" s="11" t="n"/>
      <c r="O13" s="9" t="inlineStr">
        <is>
          <t>検収済</t>
        </is>
      </c>
      <c r="P13" s="11" t="inlineStr">
        <is>
          <t>—</t>
        </is>
      </c>
    </row>
    <row r="14">
      <c r="A14" s="9" t="n">
        <v>11</v>
      </c>
      <c r="B14" s="10">
        <f>DATE(2026,11,11)</f>
        <v/>
      </c>
      <c r="C14" s="9" t="inlineStr">
        <is>
          <t>V004</t>
        </is>
      </c>
      <c r="D14" s="11">
        <f>IFERROR(VLOOKUP(C14,取引先マスタ!A:E,2,FALSE),"")</f>
        <v/>
      </c>
      <c r="E14" s="9" t="inlineStr">
        <is>
          <t>P002</t>
        </is>
      </c>
      <c r="F14" s="11">
        <f>IFERROR(VLOOKUP(E14,案件マスタ!A:D,2,FALSE),"")</f>
        <v/>
      </c>
      <c r="G14" s="11" t="inlineStr">
        <is>
          <t>外付けHDD 4TB</t>
        </is>
      </c>
      <c r="H14" s="9" t="inlineStr">
        <is>
          <t>台</t>
        </is>
      </c>
      <c r="I14" s="9" t="n">
        <v>3</v>
      </c>
      <c r="J14" s="12" t="n">
        <v>9800</v>
      </c>
      <c r="K14" s="12">
        <f>IF(AND(I14&lt;&gt;"",J14&lt;&gt;""),I14*J14,"")</f>
        <v/>
      </c>
      <c r="L14" s="9" t="inlineStr">
        <is>
          <t>10%</t>
        </is>
      </c>
      <c r="M14" s="10">
        <f>B14+14</f>
        <v/>
      </c>
      <c r="N14" s="11" t="n"/>
      <c r="O14" s="9" t="inlineStr">
        <is>
          <t>完了</t>
        </is>
      </c>
      <c r="P14" s="11" t="inlineStr">
        <is>
          <t>—</t>
        </is>
      </c>
    </row>
    <row r="15">
      <c r="A15" s="9" t="n">
        <v>12</v>
      </c>
      <c r="B15" s="10">
        <f>DATE(2026,12,12)</f>
        <v/>
      </c>
      <c r="C15" s="9" t="inlineStr">
        <is>
          <t>V004</t>
        </is>
      </c>
      <c r="D15" s="11">
        <f>IFERROR(VLOOKUP(C15,取引先マスタ!A:E,2,FALSE),"")</f>
        <v/>
      </c>
      <c r="E15" s="9" t="inlineStr">
        <is>
          <t>P003</t>
        </is>
      </c>
      <c r="F15" s="11">
        <f>IFERROR(VLOOKUP(E15,案件マスタ!A:D,2,FALSE),"")</f>
        <v/>
      </c>
      <c r="G15" s="11" t="inlineStr">
        <is>
          <t>オフィスデスク</t>
        </is>
      </c>
      <c r="H15" s="9" t="inlineStr">
        <is>
          <t>台</t>
        </is>
      </c>
      <c r="I15" s="9" t="n">
        <v>2</v>
      </c>
      <c r="J15" s="12" t="n">
        <v>38000</v>
      </c>
      <c r="K15" s="12">
        <f>IF(AND(I15&lt;&gt;"",J15&lt;&gt;""),I15*J15,"")</f>
        <v/>
      </c>
      <c r="L15" s="9" t="inlineStr">
        <is>
          <t>10%</t>
        </is>
      </c>
      <c r="M15" s="10">
        <f>B15+14</f>
        <v/>
      </c>
      <c r="N15" s="11" t="n"/>
      <c r="O15" s="9" t="inlineStr">
        <is>
          <t>保留</t>
        </is>
      </c>
      <c r="P15" s="11" t="inlineStr">
        <is>
          <t>—</t>
        </is>
      </c>
    </row>
    <row r="16">
      <c r="A16" s="9" t="n">
        <v>13</v>
      </c>
      <c r="B16" s="10">
        <f>DATE(2026,1,13)</f>
        <v/>
      </c>
      <c r="C16" s="9" t="inlineStr">
        <is>
          <t>V005</t>
        </is>
      </c>
      <c r="D16" s="11">
        <f>IFERROR(VLOOKUP(C16,取引先マスタ!A:E,2,FALSE),"")</f>
        <v/>
      </c>
      <c r="E16" s="9" t="inlineStr">
        <is>
          <t>P001</t>
        </is>
      </c>
      <c r="F16" s="11">
        <f>IFERROR(VLOOKUP(E16,案件マスタ!A:D,2,FALSE),"")</f>
        <v/>
      </c>
      <c r="G16" s="11" t="inlineStr">
        <is>
          <t>外付けHDD 4TB</t>
        </is>
      </c>
      <c r="H16" s="9" t="inlineStr">
        <is>
          <t>台</t>
        </is>
      </c>
      <c r="I16" s="9" t="n">
        <v>3</v>
      </c>
      <c r="J16" s="12" t="n">
        <v>9800</v>
      </c>
      <c r="K16" s="12">
        <f>IF(AND(I16&lt;&gt;"",J16&lt;&gt;""),I16*J16,"")</f>
        <v/>
      </c>
      <c r="L16" s="9" t="inlineStr">
        <is>
          <t>10%</t>
        </is>
      </c>
      <c r="M16" s="10">
        <f>B16+14</f>
        <v/>
      </c>
      <c r="N16" s="10">
        <f>B16+18</f>
        <v/>
      </c>
      <c r="O16" s="9" t="inlineStr">
        <is>
          <t>完了</t>
        </is>
      </c>
      <c r="P16" s="11" t="inlineStr">
        <is>
          <t>—</t>
        </is>
      </c>
    </row>
    <row r="17">
      <c r="A17" s="9" t="n">
        <v>14</v>
      </c>
      <c r="B17" s="10">
        <f>DATE(2026,2,14)</f>
        <v/>
      </c>
      <c r="C17" s="9" t="inlineStr">
        <is>
          <t>V005</t>
        </is>
      </c>
      <c r="D17" s="11">
        <f>IFERROR(VLOOKUP(C17,取引先マスタ!A:E,2,FALSE),"")</f>
        <v/>
      </c>
      <c r="E17" s="9" t="inlineStr">
        <is>
          <t>P002</t>
        </is>
      </c>
      <c r="F17" s="11">
        <f>IFERROR(VLOOKUP(E17,案件マスタ!A:D,2,FALSE),"")</f>
        <v/>
      </c>
      <c r="G17" s="11" t="inlineStr">
        <is>
          <t>オフィスデスク</t>
        </is>
      </c>
      <c r="H17" s="9" t="inlineStr">
        <is>
          <t>台</t>
        </is>
      </c>
      <c r="I17" s="9" t="n">
        <v>2</v>
      </c>
      <c r="J17" s="12" t="n">
        <v>38000</v>
      </c>
      <c r="K17" s="12">
        <f>IF(AND(I17&lt;&gt;"",J17&lt;&gt;""),I17*J17,"")</f>
        <v/>
      </c>
      <c r="L17" s="9" t="inlineStr">
        <is>
          <t>10%</t>
        </is>
      </c>
      <c r="M17" s="10">
        <f>B17+14</f>
        <v/>
      </c>
      <c r="N17" s="11" t="n"/>
      <c r="O17" s="9" t="inlineStr">
        <is>
          <t>保留</t>
        </is>
      </c>
      <c r="P17" s="11" t="inlineStr">
        <is>
          <t>—</t>
        </is>
      </c>
    </row>
    <row r="18">
      <c r="A18" s="9" t="n">
        <v>15</v>
      </c>
      <c r="B18" s="10">
        <f>DATE(2026,3,15)</f>
        <v/>
      </c>
      <c r="C18" s="9" t="inlineStr">
        <is>
          <t>V005</t>
        </is>
      </c>
      <c r="D18" s="11">
        <f>IFERROR(VLOOKUP(C18,取引先マスタ!A:E,2,FALSE),"")</f>
        <v/>
      </c>
      <c r="E18" s="9" t="inlineStr">
        <is>
          <t>P003</t>
        </is>
      </c>
      <c r="F18" s="11">
        <f>IFERROR(VLOOKUP(E18,案件マスタ!A:D,2,FALSE),"")</f>
        <v/>
      </c>
      <c r="G18" s="11" t="inlineStr">
        <is>
          <t>ホワイトボード</t>
        </is>
      </c>
      <c r="H18" s="9" t="inlineStr">
        <is>
          <t>台</t>
        </is>
      </c>
      <c r="I18" s="9" t="n">
        <v>1</v>
      </c>
      <c r="J18" s="12" t="n">
        <v>22000</v>
      </c>
      <c r="K18" s="12">
        <f>IF(AND(I18&lt;&gt;"",J18&lt;&gt;""),I18*J18,"")</f>
        <v/>
      </c>
      <c r="L18" s="9" t="inlineStr">
        <is>
          <t>10%</t>
        </is>
      </c>
      <c r="M18" s="10">
        <f>B18+14</f>
        <v/>
      </c>
      <c r="N18" s="11" t="n"/>
      <c r="O18" s="9" t="inlineStr">
        <is>
          <t>未発注</t>
        </is>
      </c>
      <c r="P18" s="11" t="inlineStr">
        <is>
          <t>—</t>
        </is>
      </c>
    </row>
    <row r="19">
      <c r="A19" s="9" t="n">
        <v>16</v>
      </c>
      <c r="B19" s="10">
        <f>DATE(2026,4,16)</f>
        <v/>
      </c>
      <c r="C19" s="9" t="inlineStr">
        <is>
          <t>V006</t>
        </is>
      </c>
      <c r="D19" s="11">
        <f>IFERROR(VLOOKUP(C19,取引先マスタ!A:E,2,FALSE),"")</f>
        <v/>
      </c>
      <c r="E19" s="9" t="inlineStr">
        <is>
          <t>P001</t>
        </is>
      </c>
      <c r="F19" s="11">
        <f>IFERROR(VLOOKUP(E19,案件マスタ!A:D,2,FALSE),"")</f>
        <v/>
      </c>
      <c r="G19" s="11" t="inlineStr">
        <is>
          <t>オフィスデスク</t>
        </is>
      </c>
      <c r="H19" s="9" t="inlineStr">
        <is>
          <t>台</t>
        </is>
      </c>
      <c r="I19" s="9" t="n">
        <v>2</v>
      </c>
      <c r="J19" s="12" t="n">
        <v>38000</v>
      </c>
      <c r="K19" s="12">
        <f>IF(AND(I19&lt;&gt;"",J19&lt;&gt;""),I19*J19,"")</f>
        <v/>
      </c>
      <c r="L19" s="9" t="inlineStr">
        <is>
          <t>10%</t>
        </is>
      </c>
      <c r="M19" s="10">
        <f>B19+14</f>
        <v/>
      </c>
      <c r="N19" s="11" t="n"/>
      <c r="O19" s="9" t="inlineStr">
        <is>
          <t>保留</t>
        </is>
      </c>
      <c r="P19" s="11" t="inlineStr">
        <is>
          <t>—</t>
        </is>
      </c>
    </row>
    <row r="20">
      <c r="A20" s="9" t="n">
        <v>17</v>
      </c>
      <c r="B20" s="10">
        <f>DATE(2026,5,17)</f>
        <v/>
      </c>
      <c r="C20" s="9" t="inlineStr">
        <is>
          <t>V006</t>
        </is>
      </c>
      <c r="D20" s="11">
        <f>IFERROR(VLOOKUP(C20,取引先マスタ!A:E,2,FALSE),"")</f>
        <v/>
      </c>
      <c r="E20" s="9" t="inlineStr">
        <is>
          <t>P002</t>
        </is>
      </c>
      <c r="F20" s="11">
        <f>IFERROR(VLOOKUP(E20,案件マスタ!A:D,2,FALSE),"")</f>
        <v/>
      </c>
      <c r="G20" s="11" t="inlineStr">
        <is>
          <t>ホワイトボード</t>
        </is>
      </c>
      <c r="H20" s="9" t="inlineStr">
        <is>
          <t>台</t>
        </is>
      </c>
      <c r="I20" s="9" t="n">
        <v>1</v>
      </c>
      <c r="J20" s="12" t="n">
        <v>22000</v>
      </c>
      <c r="K20" s="12">
        <f>IF(AND(I20&lt;&gt;"",J20&lt;&gt;""),I20*J20,"")</f>
        <v/>
      </c>
      <c r="L20" s="9" t="inlineStr">
        <is>
          <t>10%</t>
        </is>
      </c>
      <c r="M20" s="10">
        <f>B20+14</f>
        <v/>
      </c>
      <c r="N20" s="10">
        <f>B20+18</f>
        <v/>
      </c>
      <c r="O20" s="9" t="inlineStr">
        <is>
          <t>未発注</t>
        </is>
      </c>
      <c r="P20" s="11" t="inlineStr">
        <is>
          <t>—</t>
        </is>
      </c>
    </row>
    <row r="21">
      <c r="A21" s="9" t="n">
        <v>18</v>
      </c>
      <c r="B21" s="10">
        <f>DATE(2026,6,18)</f>
        <v/>
      </c>
      <c r="C21" s="9" t="inlineStr">
        <is>
          <t>V006</t>
        </is>
      </c>
      <c r="D21" s="11">
        <f>IFERROR(VLOOKUP(C21,取引先マスタ!A:E,2,FALSE),"")</f>
        <v/>
      </c>
      <c r="E21" s="9" t="inlineStr">
        <is>
          <t>P003</t>
        </is>
      </c>
      <c r="F21" s="11">
        <f>IFERROR(VLOOKUP(E21,案件マスタ!A:D,2,FALSE),"")</f>
        <v/>
      </c>
      <c r="G21" s="11" t="inlineStr">
        <is>
          <t>プロジェクター</t>
        </is>
      </c>
      <c r="H21" s="9" t="inlineStr">
        <is>
          <t>台</t>
        </is>
      </c>
      <c r="I21" s="9" t="n">
        <v>1</v>
      </c>
      <c r="J21" s="12" t="n">
        <v>65000</v>
      </c>
      <c r="K21" s="12">
        <f>IF(AND(I21&lt;&gt;"",J21&lt;&gt;""),I21*J21,"")</f>
        <v/>
      </c>
      <c r="L21" s="9" t="inlineStr">
        <is>
          <t>10%</t>
        </is>
      </c>
      <c r="M21" s="10">
        <f>B21+14</f>
        <v/>
      </c>
      <c r="N21" s="11" t="n"/>
      <c r="O21" s="9" t="inlineStr">
        <is>
          <t>発注済</t>
        </is>
      </c>
      <c r="P21" s="11" t="inlineStr">
        <is>
          <t>—</t>
        </is>
      </c>
    </row>
    <row r="22">
      <c r="A22" s="9" t="n">
        <v>19</v>
      </c>
      <c r="B22" s="10">
        <f>DATE(2026,7,19)</f>
        <v/>
      </c>
      <c r="C22" s="9" t="inlineStr">
        <is>
          <t>V007</t>
        </is>
      </c>
      <c r="D22" s="11">
        <f>IFERROR(VLOOKUP(C22,取引先マスタ!A:E,2,FALSE),"")</f>
        <v/>
      </c>
      <c r="E22" s="9" t="inlineStr">
        <is>
          <t>P001</t>
        </is>
      </c>
      <c r="F22" s="11">
        <f>IFERROR(VLOOKUP(E22,案件マスタ!A:D,2,FALSE),"")</f>
        <v/>
      </c>
      <c r="G22" s="11" t="inlineStr">
        <is>
          <t>ホワイトボード</t>
        </is>
      </c>
      <c r="H22" s="9" t="inlineStr">
        <is>
          <t>台</t>
        </is>
      </c>
      <c r="I22" s="9" t="n">
        <v>1</v>
      </c>
      <c r="J22" s="12" t="n">
        <v>22000</v>
      </c>
      <c r="K22" s="12">
        <f>IF(AND(I22&lt;&gt;"",J22&lt;&gt;""),I22*J22,"")</f>
        <v/>
      </c>
      <c r="L22" s="9" t="inlineStr">
        <is>
          <t>10%</t>
        </is>
      </c>
      <c r="M22" s="10">
        <f>B22+14</f>
        <v/>
      </c>
      <c r="N22" s="11" t="n"/>
      <c r="O22" s="9" t="inlineStr">
        <is>
          <t>未発注</t>
        </is>
      </c>
      <c r="P22" s="11" t="inlineStr">
        <is>
          <t>—</t>
        </is>
      </c>
    </row>
    <row r="23">
      <c r="A23" s="9" t="n">
        <v>20</v>
      </c>
      <c r="B23" s="10">
        <f>DATE(2026,8,20)</f>
        <v/>
      </c>
      <c r="C23" s="9" t="inlineStr">
        <is>
          <t>V007</t>
        </is>
      </c>
      <c r="D23" s="11">
        <f>IFERROR(VLOOKUP(C23,取引先マスタ!A:E,2,FALSE),"")</f>
        <v/>
      </c>
      <c r="E23" s="9" t="inlineStr">
        <is>
          <t>P002</t>
        </is>
      </c>
      <c r="F23" s="11">
        <f>IFERROR(VLOOKUP(E23,案件マスタ!A:D,2,FALSE),"")</f>
        <v/>
      </c>
      <c r="G23" s="11" t="inlineStr">
        <is>
          <t>プロジェクター</t>
        </is>
      </c>
      <c r="H23" s="9" t="inlineStr">
        <is>
          <t>台</t>
        </is>
      </c>
      <c r="I23" s="9" t="n">
        <v>1</v>
      </c>
      <c r="J23" s="12" t="n">
        <v>65000</v>
      </c>
      <c r="K23" s="12">
        <f>IF(AND(I23&lt;&gt;"",J23&lt;&gt;""),I23*J23,"")</f>
        <v/>
      </c>
      <c r="L23" s="9" t="inlineStr">
        <is>
          <t>10%</t>
        </is>
      </c>
      <c r="M23" s="10">
        <f>B23+14</f>
        <v/>
      </c>
      <c r="N23" s="11" t="n"/>
      <c r="O23" s="9" t="inlineStr">
        <is>
          <t>発注済</t>
        </is>
      </c>
      <c r="P23" s="11" t="inlineStr">
        <is>
          <t>—</t>
        </is>
      </c>
    </row>
    <row r="24">
      <c r="A24" s="9" t="n">
        <v>21</v>
      </c>
      <c r="B24" s="10">
        <f>DATE(2026,9,21)</f>
        <v/>
      </c>
      <c r="C24" s="9" t="inlineStr">
        <is>
          <t>V007</t>
        </is>
      </c>
      <c r="D24" s="11">
        <f>IFERROR(VLOOKUP(C24,取引先マスタ!A:E,2,FALSE),"")</f>
        <v/>
      </c>
      <c r="E24" s="9" t="inlineStr">
        <is>
          <t>P003</t>
        </is>
      </c>
      <c r="F24" s="11">
        <f>IFERROR(VLOOKUP(E24,案件マスタ!A:D,2,FALSE),"")</f>
        <v/>
      </c>
      <c r="G24" s="11" t="inlineStr">
        <is>
          <t>複合機トナー</t>
        </is>
      </c>
      <c r="H24" s="9" t="inlineStr">
        <is>
          <t>本</t>
        </is>
      </c>
      <c r="I24" s="9" t="n">
        <v>4</v>
      </c>
      <c r="J24" s="12" t="n">
        <v>12500</v>
      </c>
      <c r="K24" s="12">
        <f>IF(AND(I24&lt;&gt;"",J24&lt;&gt;""),I24*J24,"")</f>
        <v/>
      </c>
      <c r="L24" s="9" t="inlineStr">
        <is>
          <t>10%</t>
        </is>
      </c>
      <c r="M24" s="10">
        <f>B24+14</f>
        <v/>
      </c>
      <c r="N24" s="10">
        <f>B24+18</f>
        <v/>
      </c>
      <c r="O24" s="9" t="inlineStr">
        <is>
          <t>納品待ち</t>
        </is>
      </c>
      <c r="P24" s="11" t="inlineStr">
        <is>
          <t>—</t>
        </is>
      </c>
    </row>
    <row r="25">
      <c r="A25" s="9" t="n">
        <v>22</v>
      </c>
      <c r="B25" s="10">
        <f>DATE(2026,10,22)</f>
        <v/>
      </c>
      <c r="C25" s="9" t="inlineStr">
        <is>
          <t>V008</t>
        </is>
      </c>
      <c r="D25" s="11">
        <f>IFERROR(VLOOKUP(C25,取引先マスタ!A:E,2,FALSE),"")</f>
        <v/>
      </c>
      <c r="E25" s="9" t="inlineStr">
        <is>
          <t>P001</t>
        </is>
      </c>
      <c r="F25" s="11">
        <f>IFERROR(VLOOKUP(E25,案件マスタ!A:D,2,FALSE),"")</f>
        <v/>
      </c>
      <c r="G25" s="11" t="inlineStr">
        <is>
          <t>プロジェクター</t>
        </is>
      </c>
      <c r="H25" s="9" t="inlineStr">
        <is>
          <t>台</t>
        </is>
      </c>
      <c r="I25" s="9" t="n">
        <v>1</v>
      </c>
      <c r="J25" s="12" t="n">
        <v>65000</v>
      </c>
      <c r="K25" s="12">
        <f>IF(AND(I25&lt;&gt;"",J25&lt;&gt;""),I25*J25,"")</f>
        <v/>
      </c>
      <c r="L25" s="9" t="inlineStr">
        <is>
          <t>10%</t>
        </is>
      </c>
      <c r="M25" s="10">
        <f>B25+14</f>
        <v/>
      </c>
      <c r="N25" s="11" t="n"/>
      <c r="O25" s="9" t="inlineStr">
        <is>
          <t>発注済</t>
        </is>
      </c>
      <c r="P25" s="11" t="inlineStr">
        <is>
          <t>—</t>
        </is>
      </c>
    </row>
    <row r="26">
      <c r="A26" s="9" t="n">
        <v>23</v>
      </c>
      <c r="B26" s="10">
        <f>DATE(2026,11,23)</f>
        <v/>
      </c>
      <c r="C26" s="9" t="inlineStr">
        <is>
          <t>V008</t>
        </is>
      </c>
      <c r="D26" s="11">
        <f>IFERROR(VLOOKUP(C26,取引先マスタ!A:E,2,FALSE),"")</f>
        <v/>
      </c>
      <c r="E26" s="9" t="inlineStr">
        <is>
          <t>P002</t>
        </is>
      </c>
      <c r="F26" s="11">
        <f>IFERROR(VLOOKUP(E26,案件マスタ!A:D,2,FALSE),"")</f>
        <v/>
      </c>
      <c r="G26" s="11" t="inlineStr">
        <is>
          <t>複合機トナー</t>
        </is>
      </c>
      <c r="H26" s="9" t="inlineStr">
        <is>
          <t>本</t>
        </is>
      </c>
      <c r="I26" s="9" t="n">
        <v>4</v>
      </c>
      <c r="J26" s="12" t="n">
        <v>12500</v>
      </c>
      <c r="K26" s="12">
        <f>IF(AND(I26&lt;&gt;"",J26&lt;&gt;""),I26*J26,"")</f>
        <v/>
      </c>
      <c r="L26" s="9" t="inlineStr">
        <is>
          <t>10%</t>
        </is>
      </c>
      <c r="M26" s="10">
        <f>B26+14</f>
        <v/>
      </c>
      <c r="N26" s="11" t="n"/>
      <c r="O26" s="9" t="inlineStr">
        <is>
          <t>納品待ち</t>
        </is>
      </c>
      <c r="P26" s="11" t="inlineStr">
        <is>
          <t>—</t>
        </is>
      </c>
    </row>
    <row r="27">
      <c r="A27" s="9" t="n">
        <v>24</v>
      </c>
      <c r="B27" s="10">
        <f>DATE(2026,12,24)</f>
        <v/>
      </c>
      <c r="C27" s="9" t="inlineStr">
        <is>
          <t>V008</t>
        </is>
      </c>
      <c r="D27" s="11">
        <f>IFERROR(VLOOKUP(C27,取引先マスタ!A:E,2,FALSE),"")</f>
        <v/>
      </c>
      <c r="E27" s="9" t="inlineStr">
        <is>
          <t>P003</t>
        </is>
      </c>
      <c r="F27" s="11">
        <f>IFERROR(VLOOKUP(E27,案件マスタ!A:D,2,FALSE),"")</f>
        <v/>
      </c>
      <c r="G27" s="11" t="inlineStr">
        <is>
          <t>応接ソファ</t>
        </is>
      </c>
      <c r="H27" s="9" t="inlineStr">
        <is>
          <t>セット</t>
        </is>
      </c>
      <c r="I27" s="9" t="n">
        <v>1</v>
      </c>
      <c r="J27" s="12" t="n">
        <v>158000</v>
      </c>
      <c r="K27" s="12">
        <f>IF(AND(I27&lt;&gt;"",J27&lt;&gt;""),I27*J27,"")</f>
        <v/>
      </c>
      <c r="L27" s="9" t="inlineStr">
        <is>
          <t>10%</t>
        </is>
      </c>
      <c r="M27" s="10">
        <f>B27+14</f>
        <v/>
      </c>
      <c r="N27" s="11" t="n"/>
      <c r="O27" s="9" t="inlineStr">
        <is>
          <t>検収済</t>
        </is>
      </c>
      <c r="P27" s="11" t="inlineStr">
        <is>
          <t>—</t>
        </is>
      </c>
    </row>
    <row r="28">
      <c r="A28" s="9" t="n">
        <v>25</v>
      </c>
      <c r="B28" s="10">
        <f>DATE(2026,1,25)</f>
        <v/>
      </c>
      <c r="C28" s="9" t="inlineStr">
        <is>
          <t>V009</t>
        </is>
      </c>
      <c r="D28" s="11">
        <f>IFERROR(VLOOKUP(C28,取引先マスタ!A:E,2,FALSE),"")</f>
        <v/>
      </c>
      <c r="E28" s="9" t="inlineStr">
        <is>
          <t>P001</t>
        </is>
      </c>
      <c r="F28" s="11">
        <f>IFERROR(VLOOKUP(E28,案件マスタ!A:D,2,FALSE),"")</f>
        <v/>
      </c>
      <c r="G28" s="11" t="inlineStr">
        <is>
          <t>複合機トナー</t>
        </is>
      </c>
      <c r="H28" s="9" t="inlineStr">
        <is>
          <t>本</t>
        </is>
      </c>
      <c r="I28" s="9" t="n">
        <v>4</v>
      </c>
      <c r="J28" s="12" t="n">
        <v>12500</v>
      </c>
      <c r="K28" s="12">
        <f>IF(AND(I28&lt;&gt;"",J28&lt;&gt;""),I28*J28,"")</f>
        <v/>
      </c>
      <c r="L28" s="9" t="inlineStr">
        <is>
          <t>10%</t>
        </is>
      </c>
      <c r="M28" s="10">
        <f>B28+14</f>
        <v/>
      </c>
      <c r="N28" s="10">
        <f>B28+18</f>
        <v/>
      </c>
      <c r="O28" s="9" t="inlineStr">
        <is>
          <t>納品待ち</t>
        </is>
      </c>
      <c r="P28" s="11" t="inlineStr">
        <is>
          <t>—</t>
        </is>
      </c>
    </row>
    <row r="29">
      <c r="A29" s="9" t="n">
        <v>26</v>
      </c>
      <c r="B29" s="10">
        <f>DATE(2026,2,26)</f>
        <v/>
      </c>
      <c r="C29" s="9" t="inlineStr">
        <is>
          <t>V009</t>
        </is>
      </c>
      <c r="D29" s="11">
        <f>IFERROR(VLOOKUP(C29,取引先マスタ!A:E,2,FALSE),"")</f>
        <v/>
      </c>
      <c r="E29" s="9" t="inlineStr">
        <is>
          <t>P002</t>
        </is>
      </c>
      <c r="F29" s="11">
        <f>IFERROR(VLOOKUP(E29,案件マスタ!A:D,2,FALSE),"")</f>
        <v/>
      </c>
      <c r="G29" s="11" t="inlineStr">
        <is>
          <t>応接ソファ</t>
        </is>
      </c>
      <c r="H29" s="9" t="inlineStr">
        <is>
          <t>セット</t>
        </is>
      </c>
      <c r="I29" s="9" t="n">
        <v>1</v>
      </c>
      <c r="J29" s="12" t="n">
        <v>158000</v>
      </c>
      <c r="K29" s="12">
        <f>IF(AND(I29&lt;&gt;"",J29&lt;&gt;""),I29*J29,"")</f>
        <v/>
      </c>
      <c r="L29" s="9" t="inlineStr">
        <is>
          <t>10%</t>
        </is>
      </c>
      <c r="M29" s="10">
        <f>B29+14</f>
        <v/>
      </c>
      <c r="N29" s="11" t="n"/>
      <c r="O29" s="9" t="inlineStr">
        <is>
          <t>検収済</t>
        </is>
      </c>
      <c r="P29" s="11" t="inlineStr">
        <is>
          <t>—</t>
        </is>
      </c>
    </row>
    <row r="30">
      <c r="A30" s="9" t="n">
        <v>27</v>
      </c>
      <c r="B30" s="10">
        <f>DATE(2026,3,27)</f>
        <v/>
      </c>
      <c r="C30" s="9" t="inlineStr">
        <is>
          <t>V009</t>
        </is>
      </c>
      <c r="D30" s="11">
        <f>IFERROR(VLOOKUP(C30,取引先マスタ!A:E,2,FALSE),"")</f>
        <v/>
      </c>
      <c r="E30" s="9" t="inlineStr">
        <is>
          <t>P003</t>
        </is>
      </c>
      <c r="F30" s="11">
        <f>IFERROR(VLOOKUP(E30,案件マスタ!A:D,2,FALSE),"")</f>
        <v/>
      </c>
      <c r="G30" s="11" t="inlineStr">
        <is>
          <t>文具一式</t>
        </is>
      </c>
      <c r="H30" s="9" t="inlineStr">
        <is>
          <t>式</t>
        </is>
      </c>
      <c r="I30" s="9" t="n">
        <v>1</v>
      </c>
      <c r="J30" s="12" t="n">
        <v>12000</v>
      </c>
      <c r="K30" s="12">
        <f>IF(AND(I30&lt;&gt;"",J30&lt;&gt;""),I30*J30,"")</f>
        <v/>
      </c>
      <c r="L30" s="9" t="inlineStr">
        <is>
          <t>10%</t>
        </is>
      </c>
      <c r="M30" s="10">
        <f>B30+14</f>
        <v/>
      </c>
      <c r="N30" s="11" t="n"/>
      <c r="O30" s="9" t="inlineStr">
        <is>
          <t>完了</t>
        </is>
      </c>
      <c r="P30" s="11" t="inlineStr">
        <is>
          <t>—</t>
        </is>
      </c>
    </row>
    <row r="31">
      <c r="A31" s="9" t="n">
        <v>28</v>
      </c>
      <c r="B31" s="10">
        <f>DATE(2026,4,28)</f>
        <v/>
      </c>
      <c r="C31" s="9" t="inlineStr">
        <is>
          <t>V010</t>
        </is>
      </c>
      <c r="D31" s="11">
        <f>IFERROR(VLOOKUP(C31,取引先マスタ!A:E,2,FALSE),"")</f>
        <v/>
      </c>
      <c r="E31" s="9" t="inlineStr">
        <is>
          <t>P001</t>
        </is>
      </c>
      <c r="F31" s="11">
        <f>IFERROR(VLOOKUP(E31,案件マスタ!A:D,2,FALSE),"")</f>
        <v/>
      </c>
      <c r="G31" s="11" t="inlineStr">
        <is>
          <t>応接ソファ</t>
        </is>
      </c>
      <c r="H31" s="9" t="inlineStr">
        <is>
          <t>セット</t>
        </is>
      </c>
      <c r="I31" s="9" t="n">
        <v>1</v>
      </c>
      <c r="J31" s="12" t="n">
        <v>158000</v>
      </c>
      <c r="K31" s="12">
        <f>IF(AND(I31&lt;&gt;"",J31&lt;&gt;""),I31*J31,"")</f>
        <v/>
      </c>
      <c r="L31" s="9" t="inlineStr">
        <is>
          <t>10%</t>
        </is>
      </c>
      <c r="M31" s="10">
        <f>B31+14</f>
        <v/>
      </c>
      <c r="N31" s="11" t="n"/>
      <c r="O31" s="9" t="inlineStr">
        <is>
          <t>検収済</t>
        </is>
      </c>
      <c r="P31" s="11" t="inlineStr">
        <is>
          <t>—</t>
        </is>
      </c>
    </row>
    <row r="32">
      <c r="A32" s="9" t="n">
        <v>29</v>
      </c>
      <c r="B32" s="10">
        <f>DATE(2026,5,1)</f>
        <v/>
      </c>
      <c r="C32" s="9" t="inlineStr">
        <is>
          <t>V010</t>
        </is>
      </c>
      <c r="D32" s="11">
        <f>IFERROR(VLOOKUP(C32,取引先マスタ!A:E,2,FALSE),"")</f>
        <v/>
      </c>
      <c r="E32" s="9" t="inlineStr">
        <is>
          <t>P002</t>
        </is>
      </c>
      <c r="F32" s="11">
        <f>IFERROR(VLOOKUP(E32,案件マスタ!A:D,2,FALSE),"")</f>
        <v/>
      </c>
      <c r="G32" s="11" t="inlineStr">
        <is>
          <t>文具一式</t>
        </is>
      </c>
      <c r="H32" s="9" t="inlineStr">
        <is>
          <t>式</t>
        </is>
      </c>
      <c r="I32" s="9" t="n">
        <v>1</v>
      </c>
      <c r="J32" s="12" t="n">
        <v>12000</v>
      </c>
      <c r="K32" s="12">
        <f>IF(AND(I32&lt;&gt;"",J32&lt;&gt;""),I32*J32,"")</f>
        <v/>
      </c>
      <c r="L32" s="9" t="inlineStr">
        <is>
          <t>10%</t>
        </is>
      </c>
      <c r="M32" s="10">
        <f>B32+14</f>
        <v/>
      </c>
      <c r="N32" s="10">
        <f>B32+18</f>
        <v/>
      </c>
      <c r="O32" s="9" t="inlineStr">
        <is>
          <t>完了</t>
        </is>
      </c>
      <c r="P32" s="11" t="inlineStr">
        <is>
          <t>—</t>
        </is>
      </c>
    </row>
    <row r="33">
      <c r="A33" s="9" t="n">
        <v>30</v>
      </c>
      <c r="B33" s="10">
        <f>DATE(2026,6,2)</f>
        <v/>
      </c>
      <c r="C33" s="9" t="inlineStr">
        <is>
          <t>V010</t>
        </is>
      </c>
      <c r="D33" s="11">
        <f>IFERROR(VLOOKUP(C33,取引先マスタ!A:E,2,FALSE),"")</f>
        <v/>
      </c>
      <c r="E33" s="9" t="inlineStr">
        <is>
          <t>P003</t>
        </is>
      </c>
      <c r="F33" s="11">
        <f>IFERROR(VLOOKUP(E33,案件マスタ!A:D,2,FALSE),"")</f>
        <v/>
      </c>
      <c r="G33" s="11" t="inlineStr">
        <is>
          <t>オフィスチェア</t>
        </is>
      </c>
      <c r="H33" s="9" t="inlineStr">
        <is>
          <t>脚</t>
        </is>
      </c>
      <c r="I33" s="9" t="n">
        <v>4</v>
      </c>
      <c r="J33" s="12" t="n">
        <v>28000</v>
      </c>
      <c r="K33" s="12">
        <f>IF(AND(I33&lt;&gt;"",J33&lt;&gt;""),I33*J33,"")</f>
        <v/>
      </c>
      <c r="L33" s="9" t="inlineStr">
        <is>
          <t>10%</t>
        </is>
      </c>
      <c r="M33" s="10">
        <f>B33+14</f>
        <v/>
      </c>
      <c r="N33" s="11" t="n"/>
      <c r="O33" s="9" t="inlineStr">
        <is>
          <t>保留</t>
        </is>
      </c>
      <c r="P33" s="11" t="inlineStr">
        <is>
          <t>—</t>
        </is>
      </c>
    </row>
    <row r="34">
      <c r="A34" s="9" t="n">
        <v>31</v>
      </c>
      <c r="B34" s="10">
        <f>DATE(2026,7,3)</f>
        <v/>
      </c>
      <c r="C34" s="9" t="inlineStr">
        <is>
          <t>V011</t>
        </is>
      </c>
      <c r="D34" s="11">
        <f>IFERROR(VLOOKUP(C34,取引先マスタ!A:E,2,FALSE),"")</f>
        <v/>
      </c>
      <c r="E34" s="9" t="inlineStr">
        <is>
          <t>P001</t>
        </is>
      </c>
      <c r="F34" s="11">
        <f>IFERROR(VLOOKUP(E34,案件マスタ!A:D,2,FALSE),"")</f>
        <v/>
      </c>
      <c r="G34" s="11" t="inlineStr">
        <is>
          <t>文具一式</t>
        </is>
      </c>
      <c r="H34" s="9" t="inlineStr">
        <is>
          <t>式</t>
        </is>
      </c>
      <c r="I34" s="9" t="n">
        <v>1</v>
      </c>
      <c r="J34" s="12" t="n">
        <v>12000</v>
      </c>
      <c r="K34" s="12">
        <f>IF(AND(I34&lt;&gt;"",J34&lt;&gt;""),I34*J34,"")</f>
        <v/>
      </c>
      <c r="L34" s="9" t="inlineStr">
        <is>
          <t>10%</t>
        </is>
      </c>
      <c r="M34" s="10">
        <f>B34+14</f>
        <v/>
      </c>
      <c r="N34" s="11" t="n"/>
      <c r="O34" s="9" t="inlineStr">
        <is>
          <t>完了</t>
        </is>
      </c>
      <c r="P34" s="11" t="inlineStr">
        <is>
          <t>—</t>
        </is>
      </c>
    </row>
    <row r="35">
      <c r="A35" s="9" t="n">
        <v>32</v>
      </c>
      <c r="B35" s="10">
        <f>DATE(2026,8,4)</f>
        <v/>
      </c>
      <c r="C35" s="9" t="inlineStr">
        <is>
          <t>V011</t>
        </is>
      </c>
      <c r="D35" s="11">
        <f>IFERROR(VLOOKUP(C35,取引先マスタ!A:E,2,FALSE),"")</f>
        <v/>
      </c>
      <c r="E35" s="9" t="inlineStr">
        <is>
          <t>P002</t>
        </is>
      </c>
      <c r="F35" s="11">
        <f>IFERROR(VLOOKUP(E35,案件マスタ!A:D,2,FALSE),"")</f>
        <v/>
      </c>
      <c r="G35" s="11" t="inlineStr">
        <is>
          <t>オフィスチェア</t>
        </is>
      </c>
      <c r="H35" s="9" t="inlineStr">
        <is>
          <t>脚</t>
        </is>
      </c>
      <c r="I35" s="9" t="n">
        <v>4</v>
      </c>
      <c r="J35" s="12" t="n">
        <v>28000</v>
      </c>
      <c r="K35" s="12">
        <f>IF(AND(I35&lt;&gt;"",J35&lt;&gt;""),I35*J35,"")</f>
        <v/>
      </c>
      <c r="L35" s="9" t="inlineStr">
        <is>
          <t>10%</t>
        </is>
      </c>
      <c r="M35" s="10">
        <f>B35+14</f>
        <v/>
      </c>
      <c r="N35" s="11" t="n"/>
      <c r="O35" s="9" t="inlineStr">
        <is>
          <t>保留</t>
        </is>
      </c>
      <c r="P35" s="11" t="inlineStr">
        <is>
          <t>—</t>
        </is>
      </c>
    </row>
    <row r="36">
      <c r="A36" s="9" t="n">
        <v>33</v>
      </c>
      <c r="B36" s="10">
        <f>DATE(2026,9,5)</f>
        <v/>
      </c>
      <c r="C36" s="9" t="inlineStr">
        <is>
          <t>V011</t>
        </is>
      </c>
      <c r="D36" s="11">
        <f>IFERROR(VLOOKUP(C36,取引先マスタ!A:E,2,FALSE),"")</f>
        <v/>
      </c>
      <c r="E36" s="9" t="inlineStr">
        <is>
          <t>P003</t>
        </is>
      </c>
      <c r="F36" s="11">
        <f>IFERROR(VLOOKUP(E36,案件マスタ!A:D,2,FALSE),"")</f>
        <v/>
      </c>
      <c r="G36" s="11" t="inlineStr">
        <is>
          <t>プリンター用紙</t>
        </is>
      </c>
      <c r="H36" s="9" t="inlineStr">
        <is>
          <t>箱</t>
        </is>
      </c>
      <c r="I36" s="9" t="n">
        <v>10</v>
      </c>
      <c r="J36" s="12" t="n">
        <v>3200</v>
      </c>
      <c r="K36" s="12">
        <f>IF(AND(I36&lt;&gt;"",J36&lt;&gt;""),I36*J36,"")</f>
        <v/>
      </c>
      <c r="L36" s="9" t="inlineStr">
        <is>
          <t>10%</t>
        </is>
      </c>
      <c r="M36" s="10">
        <f>B36+14</f>
        <v/>
      </c>
      <c r="N36" s="10">
        <f>B36+18</f>
        <v/>
      </c>
      <c r="O36" s="9" t="inlineStr">
        <is>
          <t>未発注</t>
        </is>
      </c>
      <c r="P36" s="11" t="inlineStr">
        <is>
          <t>—</t>
        </is>
      </c>
    </row>
    <row r="37">
      <c r="A37" s="9" t="n">
        <v>34</v>
      </c>
      <c r="B37" s="10">
        <f>DATE(2026,10,6)</f>
        <v/>
      </c>
      <c r="C37" s="9" t="inlineStr">
        <is>
          <t>V012</t>
        </is>
      </c>
      <c r="D37" s="11">
        <f>IFERROR(VLOOKUP(C37,取引先マスタ!A:E,2,FALSE),"")</f>
        <v/>
      </c>
      <c r="E37" s="9" t="inlineStr">
        <is>
          <t>P001</t>
        </is>
      </c>
      <c r="F37" s="11">
        <f>IFERROR(VLOOKUP(E37,案件マスタ!A:D,2,FALSE),"")</f>
        <v/>
      </c>
      <c r="G37" s="11" t="inlineStr">
        <is>
          <t>オフィスチェア</t>
        </is>
      </c>
      <c r="H37" s="9" t="inlineStr">
        <is>
          <t>脚</t>
        </is>
      </c>
      <c r="I37" s="9" t="n">
        <v>4</v>
      </c>
      <c r="J37" s="12" t="n">
        <v>28000</v>
      </c>
      <c r="K37" s="12">
        <f>IF(AND(I37&lt;&gt;"",J37&lt;&gt;""),I37*J37,"")</f>
        <v/>
      </c>
      <c r="L37" s="9" t="inlineStr">
        <is>
          <t>10%</t>
        </is>
      </c>
      <c r="M37" s="10">
        <f>B37+14</f>
        <v/>
      </c>
      <c r="N37" s="11" t="n"/>
      <c r="O37" s="9" t="inlineStr">
        <is>
          <t>保留</t>
        </is>
      </c>
      <c r="P37" s="11" t="inlineStr">
        <is>
          <t>—</t>
        </is>
      </c>
    </row>
    <row r="38">
      <c r="A38" s="9" t="n">
        <v>35</v>
      </c>
      <c r="B38" s="10">
        <f>DATE(2026,11,7)</f>
        <v/>
      </c>
      <c r="C38" s="9" t="inlineStr">
        <is>
          <t>V012</t>
        </is>
      </c>
      <c r="D38" s="11">
        <f>IFERROR(VLOOKUP(C38,取引先マスタ!A:E,2,FALSE),"")</f>
        <v/>
      </c>
      <c r="E38" s="9" t="inlineStr">
        <is>
          <t>P002</t>
        </is>
      </c>
      <c r="F38" s="11">
        <f>IFERROR(VLOOKUP(E38,案件マスタ!A:D,2,FALSE),"")</f>
        <v/>
      </c>
      <c r="G38" s="11" t="inlineStr">
        <is>
          <t>プリンター用紙</t>
        </is>
      </c>
      <c r="H38" s="9" t="inlineStr">
        <is>
          <t>箱</t>
        </is>
      </c>
      <c r="I38" s="9" t="n">
        <v>10</v>
      </c>
      <c r="J38" s="12" t="n">
        <v>3200</v>
      </c>
      <c r="K38" s="12">
        <f>IF(AND(I38&lt;&gt;"",J38&lt;&gt;""),I38*J38,"")</f>
        <v/>
      </c>
      <c r="L38" s="9" t="inlineStr">
        <is>
          <t>10%</t>
        </is>
      </c>
      <c r="M38" s="10">
        <f>B38+14</f>
        <v/>
      </c>
      <c r="N38" s="11" t="n"/>
      <c r="O38" s="9" t="inlineStr">
        <is>
          <t>未発注</t>
        </is>
      </c>
      <c r="P38" s="11" t="inlineStr">
        <is>
          <t>—</t>
        </is>
      </c>
    </row>
    <row r="39">
      <c r="A39" s="9" t="n">
        <v>36</v>
      </c>
      <c r="B39" s="10">
        <f>DATE(2026,12,8)</f>
        <v/>
      </c>
      <c r="C39" s="9" t="inlineStr">
        <is>
          <t>V012</t>
        </is>
      </c>
      <c r="D39" s="11">
        <f>IFERROR(VLOOKUP(C39,取引先マスタ!A:E,2,FALSE),"")</f>
        <v/>
      </c>
      <c r="E39" s="9" t="inlineStr">
        <is>
          <t>P003</t>
        </is>
      </c>
      <c r="F39" s="11">
        <f>IFERROR(VLOOKUP(E39,案件マスタ!A:D,2,FALSE),"")</f>
        <v/>
      </c>
      <c r="G39" s="11" t="inlineStr">
        <is>
          <t>ノートPC</t>
        </is>
      </c>
      <c r="H39" s="9" t="inlineStr">
        <is>
          <t>台</t>
        </is>
      </c>
      <c r="I39" s="9" t="n">
        <v>2</v>
      </c>
      <c r="J39" s="12" t="n">
        <v>145000</v>
      </c>
      <c r="K39" s="12">
        <f>IF(AND(I39&lt;&gt;"",J39&lt;&gt;""),I39*J39,"")</f>
        <v/>
      </c>
      <c r="L39" s="9" t="inlineStr">
        <is>
          <t>10%</t>
        </is>
      </c>
      <c r="M39" s="10">
        <f>B39+14</f>
        <v/>
      </c>
      <c r="N39" s="11" t="n"/>
      <c r="O39" s="9" t="inlineStr">
        <is>
          <t>発注済</t>
        </is>
      </c>
      <c r="P39" s="11" t="inlineStr">
        <is>
          <t>—</t>
        </is>
      </c>
    </row>
    <row r="40">
      <c r="A40" s="9" t="n">
        <v>37</v>
      </c>
      <c r="B40" s="10">
        <f>DATE(2026,1,9)</f>
        <v/>
      </c>
      <c r="C40" s="9" t="inlineStr">
        <is>
          <t>V013</t>
        </is>
      </c>
      <c r="D40" s="11">
        <f>IFERROR(VLOOKUP(C40,取引先マスタ!A:E,2,FALSE),"")</f>
        <v/>
      </c>
      <c r="E40" s="9" t="inlineStr">
        <is>
          <t>P001</t>
        </is>
      </c>
      <c r="F40" s="11">
        <f>IFERROR(VLOOKUP(E40,案件マスタ!A:D,2,FALSE),"")</f>
        <v/>
      </c>
      <c r="G40" s="11" t="inlineStr">
        <is>
          <t>プリンター用紙</t>
        </is>
      </c>
      <c r="H40" s="9" t="inlineStr">
        <is>
          <t>箱</t>
        </is>
      </c>
      <c r="I40" s="9" t="n">
        <v>10</v>
      </c>
      <c r="J40" s="12" t="n">
        <v>3200</v>
      </c>
      <c r="K40" s="12">
        <f>IF(AND(I40&lt;&gt;"",J40&lt;&gt;""),I40*J40,"")</f>
        <v/>
      </c>
      <c r="L40" s="9" t="inlineStr">
        <is>
          <t>10%</t>
        </is>
      </c>
      <c r="M40" s="10">
        <f>B40+14</f>
        <v/>
      </c>
      <c r="N40" s="10">
        <f>B40+18</f>
        <v/>
      </c>
      <c r="O40" s="9" t="inlineStr">
        <is>
          <t>未発注</t>
        </is>
      </c>
      <c r="P40" s="11" t="inlineStr">
        <is>
          <t>—</t>
        </is>
      </c>
    </row>
    <row r="41">
      <c r="A41" s="9" t="n">
        <v>38</v>
      </c>
      <c r="B41" s="10">
        <f>DATE(2026,2,10)</f>
        <v/>
      </c>
      <c r="C41" s="9" t="inlineStr">
        <is>
          <t>V013</t>
        </is>
      </c>
      <c r="D41" s="11">
        <f>IFERROR(VLOOKUP(C41,取引先マスタ!A:E,2,FALSE),"")</f>
        <v/>
      </c>
      <c r="E41" s="9" t="inlineStr">
        <is>
          <t>P002</t>
        </is>
      </c>
      <c r="F41" s="11">
        <f>IFERROR(VLOOKUP(E41,案件マスタ!A:D,2,FALSE),"")</f>
        <v/>
      </c>
      <c r="G41" s="11" t="inlineStr">
        <is>
          <t>ノートPC</t>
        </is>
      </c>
      <c r="H41" s="9" t="inlineStr">
        <is>
          <t>台</t>
        </is>
      </c>
      <c r="I41" s="9" t="n">
        <v>2</v>
      </c>
      <c r="J41" s="12" t="n">
        <v>145000</v>
      </c>
      <c r="K41" s="12">
        <f>IF(AND(I41&lt;&gt;"",J41&lt;&gt;""),I41*J41,"")</f>
        <v/>
      </c>
      <c r="L41" s="9" t="inlineStr">
        <is>
          <t>10%</t>
        </is>
      </c>
      <c r="M41" s="10">
        <f>B41+14</f>
        <v/>
      </c>
      <c r="N41" s="11" t="n"/>
      <c r="O41" s="9" t="inlineStr">
        <is>
          <t>発注済</t>
        </is>
      </c>
      <c r="P41" s="11" t="inlineStr">
        <is>
          <t>—</t>
        </is>
      </c>
    </row>
    <row r="42">
      <c r="A42" s="9" t="n">
        <v>39</v>
      </c>
      <c r="B42" s="10">
        <f>DATE(2026,3,11)</f>
        <v/>
      </c>
      <c r="C42" s="9" t="inlineStr">
        <is>
          <t>V013</t>
        </is>
      </c>
      <c r="D42" s="11">
        <f>IFERROR(VLOOKUP(C42,取引先マスタ!A:E,2,FALSE),"")</f>
        <v/>
      </c>
      <c r="E42" s="9" t="inlineStr">
        <is>
          <t>P003</t>
        </is>
      </c>
      <c r="F42" s="11">
        <f>IFERROR(VLOOKUP(E42,案件マスタ!A:D,2,FALSE),"")</f>
        <v/>
      </c>
      <c r="G42" s="11" t="inlineStr">
        <is>
          <t>外付けHDD 4TB</t>
        </is>
      </c>
      <c r="H42" s="9" t="inlineStr">
        <is>
          <t>台</t>
        </is>
      </c>
      <c r="I42" s="9" t="n">
        <v>3</v>
      </c>
      <c r="J42" s="12" t="n">
        <v>9800</v>
      </c>
      <c r="K42" s="12">
        <f>IF(AND(I42&lt;&gt;"",J42&lt;&gt;""),I42*J42,"")</f>
        <v/>
      </c>
      <c r="L42" s="9" t="inlineStr">
        <is>
          <t>10%</t>
        </is>
      </c>
      <c r="M42" s="10">
        <f>B42+14</f>
        <v/>
      </c>
      <c r="N42" s="11" t="n"/>
      <c r="O42" s="9" t="inlineStr">
        <is>
          <t>納品待ち</t>
        </is>
      </c>
      <c r="P42" s="11" t="inlineStr">
        <is>
          <t>—</t>
        </is>
      </c>
    </row>
    <row r="43">
      <c r="A43" s="9" t="n">
        <v>40</v>
      </c>
      <c r="B43" s="10">
        <f>DATE(2026,4,12)</f>
        <v/>
      </c>
      <c r="C43" s="9" t="inlineStr">
        <is>
          <t>V014</t>
        </is>
      </c>
      <c r="D43" s="11">
        <f>IFERROR(VLOOKUP(C43,取引先マスタ!A:E,2,FALSE),"")</f>
        <v/>
      </c>
      <c r="E43" s="9" t="inlineStr">
        <is>
          <t>P001</t>
        </is>
      </c>
      <c r="F43" s="11">
        <f>IFERROR(VLOOKUP(E43,案件マスタ!A:D,2,FALSE),"")</f>
        <v/>
      </c>
      <c r="G43" s="11" t="inlineStr">
        <is>
          <t>ノートPC</t>
        </is>
      </c>
      <c r="H43" s="9" t="inlineStr">
        <is>
          <t>台</t>
        </is>
      </c>
      <c r="I43" s="9" t="n">
        <v>2</v>
      </c>
      <c r="J43" s="12" t="n">
        <v>145000</v>
      </c>
      <c r="K43" s="12">
        <f>IF(AND(I43&lt;&gt;"",J43&lt;&gt;""),I43*J43,"")</f>
        <v/>
      </c>
      <c r="L43" s="9" t="inlineStr">
        <is>
          <t>10%</t>
        </is>
      </c>
      <c r="M43" s="10">
        <f>B43+14</f>
        <v/>
      </c>
      <c r="N43" s="11" t="n"/>
      <c r="O43" s="9" t="inlineStr">
        <is>
          <t>発注済</t>
        </is>
      </c>
      <c r="P43" s="11" t="inlineStr">
        <is>
          <t>—</t>
        </is>
      </c>
    </row>
    <row r="44">
      <c r="A44" s="9" t="n">
        <v>41</v>
      </c>
      <c r="B44" s="10">
        <f>DATE(2026,5,13)</f>
        <v/>
      </c>
      <c r="C44" s="9" t="inlineStr">
        <is>
          <t>V014</t>
        </is>
      </c>
      <c r="D44" s="11">
        <f>IFERROR(VLOOKUP(C44,取引先マスタ!A:E,2,FALSE),"")</f>
        <v/>
      </c>
      <c r="E44" s="9" t="inlineStr">
        <is>
          <t>P002</t>
        </is>
      </c>
      <c r="F44" s="11">
        <f>IFERROR(VLOOKUP(E44,案件マスタ!A:D,2,FALSE),"")</f>
        <v/>
      </c>
      <c r="G44" s="11" t="inlineStr">
        <is>
          <t>外付けHDD 4TB</t>
        </is>
      </c>
      <c r="H44" s="9" t="inlineStr">
        <is>
          <t>台</t>
        </is>
      </c>
      <c r="I44" s="9" t="n">
        <v>3</v>
      </c>
      <c r="J44" s="12" t="n">
        <v>9800</v>
      </c>
      <c r="K44" s="12">
        <f>IF(AND(I44&lt;&gt;"",J44&lt;&gt;""),I44*J44,"")</f>
        <v/>
      </c>
      <c r="L44" s="9" t="inlineStr">
        <is>
          <t>10%</t>
        </is>
      </c>
      <c r="M44" s="10">
        <f>B44+14</f>
        <v/>
      </c>
      <c r="N44" s="10">
        <f>B44+18</f>
        <v/>
      </c>
      <c r="O44" s="9" t="inlineStr">
        <is>
          <t>納品待ち</t>
        </is>
      </c>
      <c r="P44" s="11" t="inlineStr">
        <is>
          <t>—</t>
        </is>
      </c>
    </row>
    <row r="45">
      <c r="A45" s="9" t="n">
        <v>42</v>
      </c>
      <c r="B45" s="10">
        <f>DATE(2026,6,14)</f>
        <v/>
      </c>
      <c r="C45" s="9" t="inlineStr">
        <is>
          <t>V014</t>
        </is>
      </c>
      <c r="D45" s="11">
        <f>IFERROR(VLOOKUP(C45,取引先マスタ!A:E,2,FALSE),"")</f>
        <v/>
      </c>
      <c r="E45" s="9" t="inlineStr">
        <is>
          <t>P003</t>
        </is>
      </c>
      <c r="F45" s="11">
        <f>IFERROR(VLOOKUP(E45,案件マスタ!A:D,2,FALSE),"")</f>
        <v/>
      </c>
      <c r="G45" s="11" t="inlineStr">
        <is>
          <t>オフィスデスク</t>
        </is>
      </c>
      <c r="H45" s="9" t="inlineStr">
        <is>
          <t>台</t>
        </is>
      </c>
      <c r="I45" s="9" t="n">
        <v>2</v>
      </c>
      <c r="J45" s="12" t="n">
        <v>38000</v>
      </c>
      <c r="K45" s="12">
        <f>IF(AND(I45&lt;&gt;"",J45&lt;&gt;""),I45*J45,"")</f>
        <v/>
      </c>
      <c r="L45" s="9" t="inlineStr">
        <is>
          <t>10%</t>
        </is>
      </c>
      <c r="M45" s="10">
        <f>B45+14</f>
        <v/>
      </c>
      <c r="N45" s="11" t="n"/>
      <c r="O45" s="9" t="inlineStr">
        <is>
          <t>検収済</t>
        </is>
      </c>
      <c r="P45" s="11" t="inlineStr">
        <is>
          <t>—</t>
        </is>
      </c>
    </row>
    <row r="46">
      <c r="A46" s="9" t="n">
        <v>43</v>
      </c>
      <c r="B46" s="10">
        <f>DATE(2026,7,15)</f>
        <v/>
      </c>
      <c r="C46" s="9" t="inlineStr">
        <is>
          <t>V015</t>
        </is>
      </c>
      <c r="D46" s="11">
        <f>IFERROR(VLOOKUP(C46,取引先マスタ!A:E,2,FALSE),"")</f>
        <v/>
      </c>
      <c r="E46" s="9" t="inlineStr">
        <is>
          <t>P001</t>
        </is>
      </c>
      <c r="F46" s="11">
        <f>IFERROR(VLOOKUP(E46,案件マスタ!A:D,2,FALSE),"")</f>
        <v/>
      </c>
      <c r="G46" s="11" t="inlineStr">
        <is>
          <t>外付けHDD 4TB</t>
        </is>
      </c>
      <c r="H46" s="9" t="inlineStr">
        <is>
          <t>台</t>
        </is>
      </c>
      <c r="I46" s="9" t="n">
        <v>3</v>
      </c>
      <c r="J46" s="12" t="n">
        <v>9800</v>
      </c>
      <c r="K46" s="12">
        <f>IF(AND(I46&lt;&gt;"",J46&lt;&gt;""),I46*J46,"")</f>
        <v/>
      </c>
      <c r="L46" s="9" t="inlineStr">
        <is>
          <t>10%</t>
        </is>
      </c>
      <c r="M46" s="10">
        <f>B46+14</f>
        <v/>
      </c>
      <c r="N46" s="11" t="n"/>
      <c r="O46" s="9" t="inlineStr">
        <is>
          <t>納品待ち</t>
        </is>
      </c>
      <c r="P46" s="11" t="inlineStr">
        <is>
          <t>—</t>
        </is>
      </c>
    </row>
    <row r="47">
      <c r="A47" s="9" t="n">
        <v>44</v>
      </c>
      <c r="B47" s="10">
        <f>DATE(2026,8,16)</f>
        <v/>
      </c>
      <c r="C47" s="9" t="inlineStr">
        <is>
          <t>V015</t>
        </is>
      </c>
      <c r="D47" s="11">
        <f>IFERROR(VLOOKUP(C47,取引先マスタ!A:E,2,FALSE),"")</f>
        <v/>
      </c>
      <c r="E47" s="9" t="inlineStr">
        <is>
          <t>P002</t>
        </is>
      </c>
      <c r="F47" s="11">
        <f>IFERROR(VLOOKUP(E47,案件マスタ!A:D,2,FALSE),"")</f>
        <v/>
      </c>
      <c r="G47" s="11" t="inlineStr">
        <is>
          <t>オフィスデスク</t>
        </is>
      </c>
      <c r="H47" s="9" t="inlineStr">
        <is>
          <t>台</t>
        </is>
      </c>
      <c r="I47" s="9" t="n">
        <v>2</v>
      </c>
      <c r="J47" s="12" t="n">
        <v>38000</v>
      </c>
      <c r="K47" s="12">
        <f>IF(AND(I47&lt;&gt;"",J47&lt;&gt;""),I47*J47,"")</f>
        <v/>
      </c>
      <c r="L47" s="9" t="inlineStr">
        <is>
          <t>10%</t>
        </is>
      </c>
      <c r="M47" s="10">
        <f>B47+14</f>
        <v/>
      </c>
      <c r="N47" s="11" t="n"/>
      <c r="O47" s="9" t="inlineStr">
        <is>
          <t>検収済</t>
        </is>
      </c>
      <c r="P47" s="11" t="inlineStr">
        <is>
          <t>—</t>
        </is>
      </c>
    </row>
    <row r="48">
      <c r="A48" s="9" t="n">
        <v>45</v>
      </c>
      <c r="B48" s="10">
        <f>DATE(2026,9,17)</f>
        <v/>
      </c>
      <c r="C48" s="9" t="inlineStr">
        <is>
          <t>V015</t>
        </is>
      </c>
      <c r="D48" s="11">
        <f>IFERROR(VLOOKUP(C48,取引先マスタ!A:E,2,FALSE),"")</f>
        <v/>
      </c>
      <c r="E48" s="9" t="inlineStr">
        <is>
          <t>P003</t>
        </is>
      </c>
      <c r="F48" s="11">
        <f>IFERROR(VLOOKUP(E48,案件マスタ!A:D,2,FALSE),"")</f>
        <v/>
      </c>
      <c r="G48" s="11" t="inlineStr">
        <is>
          <t>ホワイトボード</t>
        </is>
      </c>
      <c r="H48" s="9" t="inlineStr">
        <is>
          <t>台</t>
        </is>
      </c>
      <c r="I48" s="9" t="n">
        <v>1</v>
      </c>
      <c r="J48" s="12" t="n">
        <v>22000</v>
      </c>
      <c r="K48" s="12">
        <f>IF(AND(I48&lt;&gt;"",J48&lt;&gt;""),I48*J48,"")</f>
        <v/>
      </c>
      <c r="L48" s="9" t="inlineStr">
        <is>
          <t>10%</t>
        </is>
      </c>
      <c r="M48" s="10">
        <f>B48+14</f>
        <v/>
      </c>
      <c r="N48" s="10">
        <f>B48+18</f>
        <v/>
      </c>
      <c r="O48" s="9" t="inlineStr">
        <is>
          <t>完了</t>
        </is>
      </c>
      <c r="P48" s="11" t="inlineStr">
        <is>
          <t>—</t>
        </is>
      </c>
    </row>
    <row r="49">
      <c r="A49" s="9" t="n">
        <v>46</v>
      </c>
      <c r="B49" s="10">
        <f>DATE(2026,10,18)</f>
        <v/>
      </c>
      <c r="C49" s="9" t="inlineStr">
        <is>
          <t>V016</t>
        </is>
      </c>
      <c r="D49" s="11">
        <f>IFERROR(VLOOKUP(C49,取引先マスタ!A:E,2,FALSE),"")</f>
        <v/>
      </c>
      <c r="E49" s="9" t="inlineStr">
        <is>
          <t>P001</t>
        </is>
      </c>
      <c r="F49" s="11">
        <f>IFERROR(VLOOKUP(E49,案件マスタ!A:D,2,FALSE),"")</f>
        <v/>
      </c>
      <c r="G49" s="11" t="inlineStr">
        <is>
          <t>オフィスデスク</t>
        </is>
      </c>
      <c r="H49" s="9" t="inlineStr">
        <is>
          <t>台</t>
        </is>
      </c>
      <c r="I49" s="9" t="n">
        <v>2</v>
      </c>
      <c r="J49" s="12" t="n">
        <v>38000</v>
      </c>
      <c r="K49" s="12">
        <f>IF(AND(I49&lt;&gt;"",J49&lt;&gt;""),I49*J49,"")</f>
        <v/>
      </c>
      <c r="L49" s="9" t="inlineStr">
        <is>
          <t>10%</t>
        </is>
      </c>
      <c r="M49" s="10">
        <f>B49+14</f>
        <v/>
      </c>
      <c r="N49" s="11" t="n"/>
      <c r="O49" s="9" t="inlineStr">
        <is>
          <t>検収済</t>
        </is>
      </c>
      <c r="P49" s="11" t="inlineStr">
        <is>
          <t>—</t>
        </is>
      </c>
    </row>
    <row r="50">
      <c r="A50" s="9" t="n">
        <v>47</v>
      </c>
      <c r="B50" s="10">
        <f>DATE(2026,11,19)</f>
        <v/>
      </c>
      <c r="C50" s="9" t="inlineStr">
        <is>
          <t>V016</t>
        </is>
      </c>
      <c r="D50" s="11">
        <f>IFERROR(VLOOKUP(C50,取引先マスタ!A:E,2,FALSE),"")</f>
        <v/>
      </c>
      <c r="E50" s="9" t="inlineStr">
        <is>
          <t>P002</t>
        </is>
      </c>
      <c r="F50" s="11">
        <f>IFERROR(VLOOKUP(E50,案件マスタ!A:D,2,FALSE),"")</f>
        <v/>
      </c>
      <c r="G50" s="11" t="inlineStr">
        <is>
          <t>ホワイトボード</t>
        </is>
      </c>
      <c r="H50" s="9" t="inlineStr">
        <is>
          <t>台</t>
        </is>
      </c>
      <c r="I50" s="9" t="n">
        <v>1</v>
      </c>
      <c r="J50" s="12" t="n">
        <v>22000</v>
      </c>
      <c r="K50" s="12">
        <f>IF(AND(I50&lt;&gt;"",J50&lt;&gt;""),I50*J50,"")</f>
        <v/>
      </c>
      <c r="L50" s="9" t="inlineStr">
        <is>
          <t>10%</t>
        </is>
      </c>
      <c r="M50" s="10">
        <f>B50+14</f>
        <v/>
      </c>
      <c r="N50" s="11" t="n"/>
      <c r="O50" s="9" t="inlineStr">
        <is>
          <t>完了</t>
        </is>
      </c>
      <c r="P50" s="11" t="inlineStr">
        <is>
          <t>—</t>
        </is>
      </c>
    </row>
    <row r="51">
      <c r="A51" s="9" t="n">
        <v>48</v>
      </c>
      <c r="B51" s="10">
        <f>DATE(2026,12,20)</f>
        <v/>
      </c>
      <c r="C51" s="9" t="inlineStr">
        <is>
          <t>V016</t>
        </is>
      </c>
      <c r="D51" s="11">
        <f>IFERROR(VLOOKUP(C51,取引先マスタ!A:E,2,FALSE),"")</f>
        <v/>
      </c>
      <c r="E51" s="9" t="inlineStr">
        <is>
          <t>P003</t>
        </is>
      </c>
      <c r="F51" s="11">
        <f>IFERROR(VLOOKUP(E51,案件マスタ!A:D,2,FALSE),"")</f>
        <v/>
      </c>
      <c r="G51" s="11" t="inlineStr">
        <is>
          <t>プロジェクター</t>
        </is>
      </c>
      <c r="H51" s="9" t="inlineStr">
        <is>
          <t>台</t>
        </is>
      </c>
      <c r="I51" s="9" t="n">
        <v>1</v>
      </c>
      <c r="J51" s="12" t="n">
        <v>65000</v>
      </c>
      <c r="K51" s="12">
        <f>IF(AND(I51&lt;&gt;"",J51&lt;&gt;""),I51*J51,"")</f>
        <v/>
      </c>
      <c r="L51" s="9" t="inlineStr">
        <is>
          <t>10%</t>
        </is>
      </c>
      <c r="M51" s="10">
        <f>B51+14</f>
        <v/>
      </c>
      <c r="N51" s="11" t="n"/>
      <c r="O51" s="9" t="inlineStr">
        <is>
          <t>保留</t>
        </is>
      </c>
      <c r="P51" s="11" t="inlineStr">
        <is>
          <t>—</t>
        </is>
      </c>
    </row>
    <row r="52">
      <c r="A52" s="9" t="n">
        <v>49</v>
      </c>
      <c r="B52" s="10">
        <f>DATE(2026,1,21)</f>
        <v/>
      </c>
      <c r="C52" s="9" t="inlineStr">
        <is>
          <t>V017</t>
        </is>
      </c>
      <c r="D52" s="11">
        <f>IFERROR(VLOOKUP(C52,取引先マスタ!A:E,2,FALSE),"")</f>
        <v/>
      </c>
      <c r="E52" s="9" t="inlineStr">
        <is>
          <t>P001</t>
        </is>
      </c>
      <c r="F52" s="11">
        <f>IFERROR(VLOOKUP(E52,案件マスタ!A:D,2,FALSE),"")</f>
        <v/>
      </c>
      <c r="G52" s="11" t="inlineStr">
        <is>
          <t>ホワイトボード</t>
        </is>
      </c>
      <c r="H52" s="9" t="inlineStr">
        <is>
          <t>台</t>
        </is>
      </c>
      <c r="I52" s="9" t="n">
        <v>1</v>
      </c>
      <c r="J52" s="12" t="n">
        <v>22000</v>
      </c>
      <c r="K52" s="12">
        <f>IF(AND(I52&lt;&gt;"",J52&lt;&gt;""),I52*J52,"")</f>
        <v/>
      </c>
      <c r="L52" s="9" t="inlineStr">
        <is>
          <t>10%</t>
        </is>
      </c>
      <c r="M52" s="10">
        <f>B52+14</f>
        <v/>
      </c>
      <c r="N52" s="10">
        <f>B52+18</f>
        <v/>
      </c>
      <c r="O52" s="9" t="inlineStr">
        <is>
          <t>完了</t>
        </is>
      </c>
      <c r="P52" s="11" t="inlineStr">
        <is>
          <t>—</t>
        </is>
      </c>
    </row>
    <row r="53">
      <c r="A53" s="9" t="n">
        <v>50</v>
      </c>
      <c r="B53" s="10">
        <f>DATE(2026,2,22)</f>
        <v/>
      </c>
      <c r="C53" s="9" t="inlineStr">
        <is>
          <t>V017</t>
        </is>
      </c>
      <c r="D53" s="11">
        <f>IFERROR(VLOOKUP(C53,取引先マスタ!A:E,2,FALSE),"")</f>
        <v/>
      </c>
      <c r="E53" s="9" t="inlineStr">
        <is>
          <t>P002</t>
        </is>
      </c>
      <c r="F53" s="11">
        <f>IFERROR(VLOOKUP(E53,案件マスタ!A:D,2,FALSE),"")</f>
        <v/>
      </c>
      <c r="G53" s="11" t="inlineStr">
        <is>
          <t>プロジェクター</t>
        </is>
      </c>
      <c r="H53" s="9" t="inlineStr">
        <is>
          <t>台</t>
        </is>
      </c>
      <c r="I53" s="9" t="n">
        <v>1</v>
      </c>
      <c r="J53" s="12" t="n">
        <v>65000</v>
      </c>
      <c r="K53" s="12">
        <f>IF(AND(I53&lt;&gt;"",J53&lt;&gt;""),I53*J53,"")</f>
        <v/>
      </c>
      <c r="L53" s="9" t="inlineStr">
        <is>
          <t>10%</t>
        </is>
      </c>
      <c r="M53" s="10">
        <f>B53+14</f>
        <v/>
      </c>
      <c r="N53" s="11" t="n"/>
      <c r="O53" s="9" t="inlineStr">
        <is>
          <t>保留</t>
        </is>
      </c>
      <c r="P53" s="11" t="inlineStr">
        <is>
          <t>—</t>
        </is>
      </c>
    </row>
    <row r="54">
      <c r="A54" s="9" t="n">
        <v>51</v>
      </c>
      <c r="B54" s="10">
        <f>DATE(2026,3,23)</f>
        <v/>
      </c>
      <c r="C54" s="9" t="inlineStr">
        <is>
          <t>V017</t>
        </is>
      </c>
      <c r="D54" s="11">
        <f>IFERROR(VLOOKUP(C54,取引先マスタ!A:E,2,FALSE),"")</f>
        <v/>
      </c>
      <c r="E54" s="9" t="inlineStr">
        <is>
          <t>P003</t>
        </is>
      </c>
      <c r="F54" s="11">
        <f>IFERROR(VLOOKUP(E54,案件マスタ!A:D,2,FALSE),"")</f>
        <v/>
      </c>
      <c r="G54" s="11" t="inlineStr">
        <is>
          <t>複合機トナー</t>
        </is>
      </c>
      <c r="H54" s="9" t="inlineStr">
        <is>
          <t>本</t>
        </is>
      </c>
      <c r="I54" s="9" t="n">
        <v>4</v>
      </c>
      <c r="J54" s="12" t="n">
        <v>12500</v>
      </c>
      <c r="K54" s="12">
        <f>IF(AND(I54&lt;&gt;"",J54&lt;&gt;""),I54*J54,"")</f>
        <v/>
      </c>
      <c r="L54" s="9" t="inlineStr">
        <is>
          <t>10%</t>
        </is>
      </c>
      <c r="M54" s="10">
        <f>B54+14</f>
        <v/>
      </c>
      <c r="N54" s="11" t="n"/>
      <c r="O54" s="9" t="inlineStr">
        <is>
          <t>未発注</t>
        </is>
      </c>
      <c r="P54" s="11" t="inlineStr">
        <is>
          <t>—</t>
        </is>
      </c>
    </row>
    <row r="55">
      <c r="A55" s="9" t="n">
        <v>52</v>
      </c>
      <c r="B55" s="10">
        <f>DATE(2026,4,24)</f>
        <v/>
      </c>
      <c r="C55" s="9" t="inlineStr">
        <is>
          <t>V018</t>
        </is>
      </c>
      <c r="D55" s="11">
        <f>IFERROR(VLOOKUP(C55,取引先マスタ!A:E,2,FALSE),"")</f>
        <v/>
      </c>
      <c r="E55" s="9" t="inlineStr">
        <is>
          <t>P001</t>
        </is>
      </c>
      <c r="F55" s="11">
        <f>IFERROR(VLOOKUP(E55,案件マスタ!A:D,2,FALSE),"")</f>
        <v/>
      </c>
      <c r="G55" s="11" t="inlineStr">
        <is>
          <t>プロジェクター</t>
        </is>
      </c>
      <c r="H55" s="9" t="inlineStr">
        <is>
          <t>台</t>
        </is>
      </c>
      <c r="I55" s="9" t="n">
        <v>1</v>
      </c>
      <c r="J55" s="12" t="n">
        <v>65000</v>
      </c>
      <c r="K55" s="12">
        <f>IF(AND(I55&lt;&gt;"",J55&lt;&gt;""),I55*J55,"")</f>
        <v/>
      </c>
      <c r="L55" s="9" t="inlineStr">
        <is>
          <t>10%</t>
        </is>
      </c>
      <c r="M55" s="10">
        <f>B55+14</f>
        <v/>
      </c>
      <c r="N55" s="11" t="n"/>
      <c r="O55" s="9" t="inlineStr">
        <is>
          <t>保留</t>
        </is>
      </c>
      <c r="P55" s="11" t="inlineStr">
        <is>
          <t>—</t>
        </is>
      </c>
    </row>
    <row r="56">
      <c r="A56" s="9" t="n">
        <v>53</v>
      </c>
      <c r="B56" s="10">
        <f>DATE(2026,5,25)</f>
        <v/>
      </c>
      <c r="C56" s="9" t="inlineStr">
        <is>
          <t>V018</t>
        </is>
      </c>
      <c r="D56" s="11">
        <f>IFERROR(VLOOKUP(C56,取引先マスタ!A:E,2,FALSE),"")</f>
        <v/>
      </c>
      <c r="E56" s="9" t="inlineStr">
        <is>
          <t>P002</t>
        </is>
      </c>
      <c r="F56" s="11">
        <f>IFERROR(VLOOKUP(E56,案件マスタ!A:D,2,FALSE),"")</f>
        <v/>
      </c>
      <c r="G56" s="11" t="inlineStr">
        <is>
          <t>複合機トナー</t>
        </is>
      </c>
      <c r="H56" s="9" t="inlineStr">
        <is>
          <t>本</t>
        </is>
      </c>
      <c r="I56" s="9" t="n">
        <v>4</v>
      </c>
      <c r="J56" s="12" t="n">
        <v>12500</v>
      </c>
      <c r="K56" s="12">
        <f>IF(AND(I56&lt;&gt;"",J56&lt;&gt;""),I56*J56,"")</f>
        <v/>
      </c>
      <c r="L56" s="9" t="inlineStr">
        <is>
          <t>10%</t>
        </is>
      </c>
      <c r="M56" s="10">
        <f>B56+14</f>
        <v/>
      </c>
      <c r="N56" s="10">
        <f>B56+18</f>
        <v/>
      </c>
      <c r="O56" s="9" t="inlineStr">
        <is>
          <t>未発注</t>
        </is>
      </c>
      <c r="P56" s="11" t="inlineStr">
        <is>
          <t>—</t>
        </is>
      </c>
    </row>
    <row r="57">
      <c r="A57" s="9" t="n">
        <v>54</v>
      </c>
      <c r="B57" s="10">
        <f>DATE(2026,6,26)</f>
        <v/>
      </c>
      <c r="C57" s="9" t="inlineStr">
        <is>
          <t>V018</t>
        </is>
      </c>
      <c r="D57" s="11">
        <f>IFERROR(VLOOKUP(C57,取引先マスタ!A:E,2,FALSE),"")</f>
        <v/>
      </c>
      <c r="E57" s="9" t="inlineStr">
        <is>
          <t>P003</t>
        </is>
      </c>
      <c r="F57" s="11">
        <f>IFERROR(VLOOKUP(E57,案件マスタ!A:D,2,FALSE),"")</f>
        <v/>
      </c>
      <c r="G57" s="11" t="inlineStr">
        <is>
          <t>応接ソファ</t>
        </is>
      </c>
      <c r="H57" s="9" t="inlineStr">
        <is>
          <t>セット</t>
        </is>
      </c>
      <c r="I57" s="9" t="n">
        <v>1</v>
      </c>
      <c r="J57" s="12" t="n">
        <v>158000</v>
      </c>
      <c r="K57" s="12">
        <f>IF(AND(I57&lt;&gt;"",J57&lt;&gt;""),I57*J57,"")</f>
        <v/>
      </c>
      <c r="L57" s="9" t="inlineStr">
        <is>
          <t>10%</t>
        </is>
      </c>
      <c r="M57" s="10">
        <f>B57+14</f>
        <v/>
      </c>
      <c r="N57" s="11" t="n"/>
      <c r="O57" s="9" t="inlineStr">
        <is>
          <t>発注済</t>
        </is>
      </c>
      <c r="P57" s="11" t="inlineStr">
        <is>
          <t>—</t>
        </is>
      </c>
    </row>
    <row r="58">
      <c r="A58" s="9" t="n">
        <v>55</v>
      </c>
      <c r="B58" s="10">
        <f>DATE(2026,7,27)</f>
        <v/>
      </c>
      <c r="C58" s="9" t="inlineStr">
        <is>
          <t>V019</t>
        </is>
      </c>
      <c r="D58" s="11">
        <f>IFERROR(VLOOKUP(C58,取引先マスタ!A:E,2,FALSE),"")</f>
        <v/>
      </c>
      <c r="E58" s="9" t="inlineStr">
        <is>
          <t>P001</t>
        </is>
      </c>
      <c r="F58" s="11">
        <f>IFERROR(VLOOKUP(E58,案件マスタ!A:D,2,FALSE),"")</f>
        <v/>
      </c>
      <c r="G58" s="11" t="inlineStr">
        <is>
          <t>複合機トナー</t>
        </is>
      </c>
      <c r="H58" s="9" t="inlineStr">
        <is>
          <t>本</t>
        </is>
      </c>
      <c r="I58" s="9" t="n">
        <v>4</v>
      </c>
      <c r="J58" s="12" t="n">
        <v>12500</v>
      </c>
      <c r="K58" s="12">
        <f>IF(AND(I58&lt;&gt;"",J58&lt;&gt;""),I58*J58,"")</f>
        <v/>
      </c>
      <c r="L58" s="9" t="inlineStr">
        <is>
          <t>10%</t>
        </is>
      </c>
      <c r="M58" s="10">
        <f>B58+14</f>
        <v/>
      </c>
      <c r="N58" s="11" t="n"/>
      <c r="O58" s="9" t="inlineStr">
        <is>
          <t>未発注</t>
        </is>
      </c>
      <c r="P58" s="11" t="inlineStr">
        <is>
          <t>—</t>
        </is>
      </c>
    </row>
    <row r="59">
      <c r="A59" s="9" t="n">
        <v>56</v>
      </c>
      <c r="B59" s="10">
        <f>DATE(2026,8,28)</f>
        <v/>
      </c>
      <c r="C59" s="9" t="inlineStr">
        <is>
          <t>V019</t>
        </is>
      </c>
      <c r="D59" s="11">
        <f>IFERROR(VLOOKUP(C59,取引先マスタ!A:E,2,FALSE),"")</f>
        <v/>
      </c>
      <c r="E59" s="9" t="inlineStr">
        <is>
          <t>P002</t>
        </is>
      </c>
      <c r="F59" s="11">
        <f>IFERROR(VLOOKUP(E59,案件マスタ!A:D,2,FALSE),"")</f>
        <v/>
      </c>
      <c r="G59" s="11" t="inlineStr">
        <is>
          <t>応接ソファ</t>
        </is>
      </c>
      <c r="H59" s="9" t="inlineStr">
        <is>
          <t>セット</t>
        </is>
      </c>
      <c r="I59" s="9" t="n">
        <v>1</v>
      </c>
      <c r="J59" s="12" t="n">
        <v>158000</v>
      </c>
      <c r="K59" s="12">
        <f>IF(AND(I59&lt;&gt;"",J59&lt;&gt;""),I59*J59,"")</f>
        <v/>
      </c>
      <c r="L59" s="9" t="inlineStr">
        <is>
          <t>10%</t>
        </is>
      </c>
      <c r="M59" s="10">
        <f>B59+14</f>
        <v/>
      </c>
      <c r="N59" s="11" t="n"/>
      <c r="O59" s="9" t="inlineStr">
        <is>
          <t>発注済</t>
        </is>
      </c>
      <c r="P59" s="11" t="inlineStr">
        <is>
          <t>—</t>
        </is>
      </c>
    </row>
    <row r="60">
      <c r="A60" s="9" t="n">
        <v>57</v>
      </c>
      <c r="B60" s="10">
        <f>DATE(2026,9,1)</f>
        <v/>
      </c>
      <c r="C60" s="9" t="inlineStr">
        <is>
          <t>V019</t>
        </is>
      </c>
      <c r="D60" s="11">
        <f>IFERROR(VLOOKUP(C60,取引先マスタ!A:E,2,FALSE),"")</f>
        <v/>
      </c>
      <c r="E60" s="9" t="inlineStr">
        <is>
          <t>P003</t>
        </is>
      </c>
      <c r="F60" s="11">
        <f>IFERROR(VLOOKUP(E60,案件マスタ!A:D,2,FALSE),"")</f>
        <v/>
      </c>
      <c r="G60" s="11" t="inlineStr">
        <is>
          <t>文具一式</t>
        </is>
      </c>
      <c r="H60" s="9" t="inlineStr">
        <is>
          <t>式</t>
        </is>
      </c>
      <c r="I60" s="9" t="n">
        <v>1</v>
      </c>
      <c r="J60" s="12" t="n">
        <v>12000</v>
      </c>
      <c r="K60" s="12">
        <f>IF(AND(I60&lt;&gt;"",J60&lt;&gt;""),I60*J60,"")</f>
        <v/>
      </c>
      <c r="L60" s="9" t="inlineStr">
        <is>
          <t>10%</t>
        </is>
      </c>
      <c r="M60" s="10">
        <f>B60+14</f>
        <v/>
      </c>
      <c r="N60" s="10">
        <f>B60+18</f>
        <v/>
      </c>
      <c r="O60" s="9" t="inlineStr">
        <is>
          <t>納品待ち</t>
        </is>
      </c>
      <c r="P60" s="11" t="inlineStr">
        <is>
          <t>—</t>
        </is>
      </c>
    </row>
    <row r="61">
      <c r="A61" s="9" t="n">
        <v>58</v>
      </c>
      <c r="B61" s="10">
        <f>DATE(2026,10,2)</f>
        <v/>
      </c>
      <c r="C61" s="9" t="inlineStr">
        <is>
          <t>V020</t>
        </is>
      </c>
      <c r="D61" s="11">
        <f>IFERROR(VLOOKUP(C61,取引先マスタ!A:E,2,FALSE),"")</f>
        <v/>
      </c>
      <c r="E61" s="9" t="inlineStr">
        <is>
          <t>P001</t>
        </is>
      </c>
      <c r="F61" s="11">
        <f>IFERROR(VLOOKUP(E61,案件マスタ!A:D,2,FALSE),"")</f>
        <v/>
      </c>
      <c r="G61" s="11" t="inlineStr">
        <is>
          <t>応接ソファ</t>
        </is>
      </c>
      <c r="H61" s="9" t="inlineStr">
        <is>
          <t>セット</t>
        </is>
      </c>
      <c r="I61" s="9" t="n">
        <v>1</v>
      </c>
      <c r="J61" s="12" t="n">
        <v>158000</v>
      </c>
      <c r="K61" s="12">
        <f>IF(AND(I61&lt;&gt;"",J61&lt;&gt;""),I61*J61,"")</f>
        <v/>
      </c>
      <c r="L61" s="9" t="inlineStr">
        <is>
          <t>10%</t>
        </is>
      </c>
      <c r="M61" s="10">
        <f>B61+14</f>
        <v/>
      </c>
      <c r="N61" s="11" t="n"/>
      <c r="O61" s="9" t="inlineStr">
        <is>
          <t>発注済</t>
        </is>
      </c>
      <c r="P61" s="11" t="inlineStr">
        <is>
          <t>—</t>
        </is>
      </c>
    </row>
    <row r="62">
      <c r="A62" s="9" t="n">
        <v>59</v>
      </c>
      <c r="B62" s="10">
        <f>DATE(2026,11,3)</f>
        <v/>
      </c>
      <c r="C62" s="9" t="inlineStr">
        <is>
          <t>V020</t>
        </is>
      </c>
      <c r="D62" s="11">
        <f>IFERROR(VLOOKUP(C62,取引先マスタ!A:E,2,FALSE),"")</f>
        <v/>
      </c>
      <c r="E62" s="9" t="inlineStr">
        <is>
          <t>P002</t>
        </is>
      </c>
      <c r="F62" s="11">
        <f>IFERROR(VLOOKUP(E62,案件マスタ!A:D,2,FALSE),"")</f>
        <v/>
      </c>
      <c r="G62" s="11" t="inlineStr">
        <is>
          <t>文具一式</t>
        </is>
      </c>
      <c r="H62" s="9" t="inlineStr">
        <is>
          <t>式</t>
        </is>
      </c>
      <c r="I62" s="9" t="n">
        <v>1</v>
      </c>
      <c r="J62" s="12" t="n">
        <v>12000</v>
      </c>
      <c r="K62" s="12">
        <f>IF(AND(I62&lt;&gt;"",J62&lt;&gt;""),I62*J62,"")</f>
        <v/>
      </c>
      <c r="L62" s="9" t="inlineStr">
        <is>
          <t>10%</t>
        </is>
      </c>
      <c r="M62" s="10">
        <f>B62+14</f>
        <v/>
      </c>
      <c r="N62" s="11" t="n"/>
      <c r="O62" s="9" t="inlineStr">
        <is>
          <t>納品待ち</t>
        </is>
      </c>
      <c r="P62" s="11" t="inlineStr">
        <is>
          <t>—</t>
        </is>
      </c>
    </row>
    <row r="63">
      <c r="A63" s="9" t="n">
        <v>60</v>
      </c>
      <c r="B63" s="10">
        <f>DATE(2026,12,4)</f>
        <v/>
      </c>
      <c r="C63" s="9" t="inlineStr">
        <is>
          <t>V020</t>
        </is>
      </c>
      <c r="D63" s="11">
        <f>IFERROR(VLOOKUP(C63,取引先マスタ!A:E,2,FALSE),"")</f>
        <v/>
      </c>
      <c r="E63" s="9" t="inlineStr">
        <is>
          <t>P003</t>
        </is>
      </c>
      <c r="F63" s="11">
        <f>IFERROR(VLOOKUP(E63,案件マスタ!A:D,2,FALSE),"")</f>
        <v/>
      </c>
      <c r="G63" s="11" t="inlineStr">
        <is>
          <t>オフィスチェア</t>
        </is>
      </c>
      <c r="H63" s="9" t="inlineStr">
        <is>
          <t>脚</t>
        </is>
      </c>
      <c r="I63" s="9" t="n">
        <v>4</v>
      </c>
      <c r="J63" s="12" t="n">
        <v>28000</v>
      </c>
      <c r="K63" s="12">
        <f>IF(AND(I63&lt;&gt;"",J63&lt;&gt;""),I63*J63,"")</f>
        <v/>
      </c>
      <c r="L63" s="9" t="inlineStr">
        <is>
          <t>10%</t>
        </is>
      </c>
      <c r="M63" s="10">
        <f>B63+14</f>
        <v/>
      </c>
      <c r="N63" s="11" t="n"/>
      <c r="O63" s="9" t="inlineStr">
        <is>
          <t>検収済</t>
        </is>
      </c>
      <c r="P63" s="11" t="inlineStr">
        <is>
          <t>—</t>
        </is>
      </c>
    </row>
    <row r="64">
      <c r="A64" s="9" t="n">
        <v>61</v>
      </c>
      <c r="B64" s="10">
        <f>DATE(2026,1,5)</f>
        <v/>
      </c>
      <c r="C64" s="9" t="inlineStr">
        <is>
          <t>V021</t>
        </is>
      </c>
      <c r="D64" s="11">
        <f>IFERROR(VLOOKUP(C64,取引先マスタ!A:E,2,FALSE),"")</f>
        <v/>
      </c>
      <c r="E64" s="9" t="inlineStr">
        <is>
          <t>P001</t>
        </is>
      </c>
      <c r="F64" s="11">
        <f>IFERROR(VLOOKUP(E64,案件マスタ!A:D,2,FALSE),"")</f>
        <v/>
      </c>
      <c r="G64" s="11" t="inlineStr">
        <is>
          <t>文具一式</t>
        </is>
      </c>
      <c r="H64" s="9" t="inlineStr">
        <is>
          <t>式</t>
        </is>
      </c>
      <c r="I64" s="9" t="n">
        <v>1</v>
      </c>
      <c r="J64" s="12" t="n">
        <v>12000</v>
      </c>
      <c r="K64" s="12">
        <f>IF(AND(I64&lt;&gt;"",J64&lt;&gt;""),I64*J64,"")</f>
        <v/>
      </c>
      <c r="L64" s="9" t="inlineStr">
        <is>
          <t>10%</t>
        </is>
      </c>
      <c r="M64" s="10">
        <f>B64+14</f>
        <v/>
      </c>
      <c r="N64" s="10">
        <f>B64+18</f>
        <v/>
      </c>
      <c r="O64" s="9" t="inlineStr">
        <is>
          <t>納品待ち</t>
        </is>
      </c>
      <c r="P64" s="11" t="inlineStr">
        <is>
          <t>—</t>
        </is>
      </c>
    </row>
    <row r="65">
      <c r="A65" s="9" t="n">
        <v>62</v>
      </c>
      <c r="B65" s="10">
        <f>DATE(2026,2,6)</f>
        <v/>
      </c>
      <c r="C65" s="9" t="inlineStr">
        <is>
          <t>V021</t>
        </is>
      </c>
      <c r="D65" s="11">
        <f>IFERROR(VLOOKUP(C65,取引先マスタ!A:E,2,FALSE),"")</f>
        <v/>
      </c>
      <c r="E65" s="9" t="inlineStr">
        <is>
          <t>P002</t>
        </is>
      </c>
      <c r="F65" s="11">
        <f>IFERROR(VLOOKUP(E65,案件マスタ!A:D,2,FALSE),"")</f>
        <v/>
      </c>
      <c r="G65" s="11" t="inlineStr">
        <is>
          <t>オフィスチェア</t>
        </is>
      </c>
      <c r="H65" s="9" t="inlineStr">
        <is>
          <t>脚</t>
        </is>
      </c>
      <c r="I65" s="9" t="n">
        <v>4</v>
      </c>
      <c r="J65" s="12" t="n">
        <v>28000</v>
      </c>
      <c r="K65" s="12">
        <f>IF(AND(I65&lt;&gt;"",J65&lt;&gt;""),I65*J65,"")</f>
        <v/>
      </c>
      <c r="L65" s="9" t="inlineStr">
        <is>
          <t>10%</t>
        </is>
      </c>
      <c r="M65" s="10">
        <f>B65+14</f>
        <v/>
      </c>
      <c r="N65" s="11" t="n"/>
      <c r="O65" s="9" t="inlineStr">
        <is>
          <t>検収済</t>
        </is>
      </c>
      <c r="P65" s="11" t="inlineStr">
        <is>
          <t>—</t>
        </is>
      </c>
    </row>
    <row r="66">
      <c r="A66" s="9" t="n">
        <v>63</v>
      </c>
      <c r="B66" s="10">
        <f>DATE(2026,3,7)</f>
        <v/>
      </c>
      <c r="C66" s="9" t="inlineStr">
        <is>
          <t>V021</t>
        </is>
      </c>
      <c r="D66" s="11">
        <f>IFERROR(VLOOKUP(C66,取引先マスタ!A:E,2,FALSE),"")</f>
        <v/>
      </c>
      <c r="E66" s="9" t="inlineStr">
        <is>
          <t>P003</t>
        </is>
      </c>
      <c r="F66" s="11">
        <f>IFERROR(VLOOKUP(E66,案件マスタ!A:D,2,FALSE),"")</f>
        <v/>
      </c>
      <c r="G66" s="11" t="inlineStr">
        <is>
          <t>プリンター用紙</t>
        </is>
      </c>
      <c r="H66" s="9" t="inlineStr">
        <is>
          <t>箱</t>
        </is>
      </c>
      <c r="I66" s="9" t="n">
        <v>10</v>
      </c>
      <c r="J66" s="12" t="n">
        <v>3200</v>
      </c>
      <c r="K66" s="12">
        <f>IF(AND(I66&lt;&gt;"",J66&lt;&gt;""),I66*J66,"")</f>
        <v/>
      </c>
      <c r="L66" s="9" t="inlineStr">
        <is>
          <t>10%</t>
        </is>
      </c>
      <c r="M66" s="10">
        <f>B66+14</f>
        <v/>
      </c>
      <c r="N66" s="11" t="n"/>
      <c r="O66" s="9" t="inlineStr">
        <is>
          <t>完了</t>
        </is>
      </c>
      <c r="P66" s="11" t="inlineStr">
        <is>
          <t>—</t>
        </is>
      </c>
    </row>
    <row r="67">
      <c r="A67" s="9" t="n">
        <v>64</v>
      </c>
      <c r="B67" s="10">
        <f>DATE(2026,4,8)</f>
        <v/>
      </c>
      <c r="C67" s="9" t="inlineStr">
        <is>
          <t>V022</t>
        </is>
      </c>
      <c r="D67" s="11">
        <f>IFERROR(VLOOKUP(C67,取引先マスタ!A:E,2,FALSE),"")</f>
        <v/>
      </c>
      <c r="E67" s="9" t="inlineStr">
        <is>
          <t>P001</t>
        </is>
      </c>
      <c r="F67" s="11">
        <f>IFERROR(VLOOKUP(E67,案件マスタ!A:D,2,FALSE),"")</f>
        <v/>
      </c>
      <c r="G67" s="11" t="inlineStr">
        <is>
          <t>オフィスチェア</t>
        </is>
      </c>
      <c r="H67" s="9" t="inlineStr">
        <is>
          <t>脚</t>
        </is>
      </c>
      <c r="I67" s="9" t="n">
        <v>4</v>
      </c>
      <c r="J67" s="12" t="n">
        <v>28000</v>
      </c>
      <c r="K67" s="12">
        <f>IF(AND(I67&lt;&gt;"",J67&lt;&gt;""),I67*J67,"")</f>
        <v/>
      </c>
      <c r="L67" s="9" t="inlineStr">
        <is>
          <t>10%</t>
        </is>
      </c>
      <c r="M67" s="10">
        <f>B67+14</f>
        <v/>
      </c>
      <c r="N67" s="11" t="n"/>
      <c r="O67" s="9" t="inlineStr">
        <is>
          <t>検収済</t>
        </is>
      </c>
      <c r="P67" s="11" t="inlineStr">
        <is>
          <t>—</t>
        </is>
      </c>
    </row>
    <row r="68">
      <c r="A68" s="9" t="n">
        <v>65</v>
      </c>
      <c r="B68" s="10">
        <f>DATE(2026,5,9)</f>
        <v/>
      </c>
      <c r="C68" s="9" t="inlineStr">
        <is>
          <t>V022</t>
        </is>
      </c>
      <c r="D68" s="11">
        <f>IFERROR(VLOOKUP(C68,取引先マスタ!A:E,2,FALSE),"")</f>
        <v/>
      </c>
      <c r="E68" s="9" t="inlineStr">
        <is>
          <t>P002</t>
        </is>
      </c>
      <c r="F68" s="11">
        <f>IFERROR(VLOOKUP(E68,案件マスタ!A:D,2,FALSE),"")</f>
        <v/>
      </c>
      <c r="G68" s="11" t="inlineStr">
        <is>
          <t>プリンター用紙</t>
        </is>
      </c>
      <c r="H68" s="9" t="inlineStr">
        <is>
          <t>箱</t>
        </is>
      </c>
      <c r="I68" s="9" t="n">
        <v>10</v>
      </c>
      <c r="J68" s="12" t="n">
        <v>3200</v>
      </c>
      <c r="K68" s="12">
        <f>IF(AND(I68&lt;&gt;"",J68&lt;&gt;""),I68*J68,"")</f>
        <v/>
      </c>
      <c r="L68" s="9" t="inlineStr">
        <is>
          <t>10%</t>
        </is>
      </c>
      <c r="M68" s="10">
        <f>B68+14</f>
        <v/>
      </c>
      <c r="N68" s="10">
        <f>B68+18</f>
        <v/>
      </c>
      <c r="O68" s="9" t="inlineStr">
        <is>
          <t>完了</t>
        </is>
      </c>
      <c r="P68" s="11" t="inlineStr">
        <is>
          <t>—</t>
        </is>
      </c>
    </row>
    <row r="69">
      <c r="A69" s="9" t="n">
        <v>66</v>
      </c>
      <c r="B69" s="10">
        <f>DATE(2026,6,10)</f>
        <v/>
      </c>
      <c r="C69" s="9" t="inlineStr">
        <is>
          <t>V022</t>
        </is>
      </c>
      <c r="D69" s="11">
        <f>IFERROR(VLOOKUP(C69,取引先マスタ!A:E,2,FALSE),"")</f>
        <v/>
      </c>
      <c r="E69" s="9" t="inlineStr">
        <is>
          <t>P003</t>
        </is>
      </c>
      <c r="F69" s="11">
        <f>IFERROR(VLOOKUP(E69,案件マスタ!A:D,2,FALSE),"")</f>
        <v/>
      </c>
      <c r="G69" s="11" t="inlineStr">
        <is>
          <t>ノートPC</t>
        </is>
      </c>
      <c r="H69" s="9" t="inlineStr">
        <is>
          <t>台</t>
        </is>
      </c>
      <c r="I69" s="9" t="n">
        <v>2</v>
      </c>
      <c r="J69" s="12" t="n">
        <v>145000</v>
      </c>
      <c r="K69" s="12">
        <f>IF(AND(I69&lt;&gt;"",J69&lt;&gt;""),I69*J69,"")</f>
        <v/>
      </c>
      <c r="L69" s="9" t="inlineStr">
        <is>
          <t>10%</t>
        </is>
      </c>
      <c r="M69" s="10">
        <f>B69+14</f>
        <v/>
      </c>
      <c r="N69" s="11" t="n"/>
      <c r="O69" s="9" t="inlineStr">
        <is>
          <t>保留</t>
        </is>
      </c>
      <c r="P69" s="11" t="inlineStr">
        <is>
          <t>—</t>
        </is>
      </c>
    </row>
    <row r="70">
      <c r="A70" s="9" t="n">
        <v>67</v>
      </c>
      <c r="B70" s="10">
        <f>DATE(2026,7,11)</f>
        <v/>
      </c>
      <c r="C70" s="9" t="inlineStr">
        <is>
          <t>V023</t>
        </is>
      </c>
      <c r="D70" s="11">
        <f>IFERROR(VLOOKUP(C70,取引先マスタ!A:E,2,FALSE),"")</f>
        <v/>
      </c>
      <c r="E70" s="9" t="inlineStr">
        <is>
          <t>P001</t>
        </is>
      </c>
      <c r="F70" s="11">
        <f>IFERROR(VLOOKUP(E70,案件マスタ!A:D,2,FALSE),"")</f>
        <v/>
      </c>
      <c r="G70" s="11" t="inlineStr">
        <is>
          <t>プリンター用紙</t>
        </is>
      </c>
      <c r="H70" s="9" t="inlineStr">
        <is>
          <t>箱</t>
        </is>
      </c>
      <c r="I70" s="9" t="n">
        <v>10</v>
      </c>
      <c r="J70" s="12" t="n">
        <v>3200</v>
      </c>
      <c r="K70" s="12">
        <f>IF(AND(I70&lt;&gt;"",J70&lt;&gt;""),I70*J70,"")</f>
        <v/>
      </c>
      <c r="L70" s="9" t="inlineStr">
        <is>
          <t>10%</t>
        </is>
      </c>
      <c r="M70" s="10">
        <f>B70+14</f>
        <v/>
      </c>
      <c r="N70" s="11" t="n"/>
      <c r="O70" s="9" t="inlineStr">
        <is>
          <t>完了</t>
        </is>
      </c>
      <c r="P70" s="11" t="inlineStr">
        <is>
          <t>—</t>
        </is>
      </c>
    </row>
    <row r="71">
      <c r="A71" s="9" t="n">
        <v>68</v>
      </c>
      <c r="B71" s="10">
        <f>DATE(2026,8,12)</f>
        <v/>
      </c>
      <c r="C71" s="9" t="inlineStr">
        <is>
          <t>V023</t>
        </is>
      </c>
      <c r="D71" s="11">
        <f>IFERROR(VLOOKUP(C71,取引先マスタ!A:E,2,FALSE),"")</f>
        <v/>
      </c>
      <c r="E71" s="9" t="inlineStr">
        <is>
          <t>P002</t>
        </is>
      </c>
      <c r="F71" s="11">
        <f>IFERROR(VLOOKUP(E71,案件マスタ!A:D,2,FALSE),"")</f>
        <v/>
      </c>
      <c r="G71" s="11" t="inlineStr">
        <is>
          <t>ノートPC</t>
        </is>
      </c>
      <c r="H71" s="9" t="inlineStr">
        <is>
          <t>台</t>
        </is>
      </c>
      <c r="I71" s="9" t="n">
        <v>2</v>
      </c>
      <c r="J71" s="12" t="n">
        <v>145000</v>
      </c>
      <c r="K71" s="12">
        <f>IF(AND(I71&lt;&gt;"",J71&lt;&gt;""),I71*J71,"")</f>
        <v/>
      </c>
      <c r="L71" s="9" t="inlineStr">
        <is>
          <t>10%</t>
        </is>
      </c>
      <c r="M71" s="10">
        <f>B71+14</f>
        <v/>
      </c>
      <c r="N71" s="11" t="n"/>
      <c r="O71" s="9" t="inlineStr">
        <is>
          <t>保留</t>
        </is>
      </c>
      <c r="P71" s="11" t="inlineStr">
        <is>
          <t>—</t>
        </is>
      </c>
    </row>
    <row r="72">
      <c r="A72" s="9" t="n">
        <v>69</v>
      </c>
      <c r="B72" s="10">
        <f>DATE(2026,9,13)</f>
        <v/>
      </c>
      <c r="C72" s="9" t="inlineStr">
        <is>
          <t>V023</t>
        </is>
      </c>
      <c r="D72" s="11">
        <f>IFERROR(VLOOKUP(C72,取引先マスタ!A:E,2,FALSE),"")</f>
        <v/>
      </c>
      <c r="E72" s="9" t="inlineStr">
        <is>
          <t>P003</t>
        </is>
      </c>
      <c r="F72" s="11">
        <f>IFERROR(VLOOKUP(E72,案件マスタ!A:D,2,FALSE),"")</f>
        <v/>
      </c>
      <c r="G72" s="11" t="inlineStr">
        <is>
          <t>外付けHDD 4TB</t>
        </is>
      </c>
      <c r="H72" s="9" t="inlineStr">
        <is>
          <t>台</t>
        </is>
      </c>
      <c r="I72" s="9" t="n">
        <v>3</v>
      </c>
      <c r="J72" s="12" t="n">
        <v>9800</v>
      </c>
      <c r="K72" s="12">
        <f>IF(AND(I72&lt;&gt;"",J72&lt;&gt;""),I72*J72,"")</f>
        <v/>
      </c>
      <c r="L72" s="9" t="inlineStr">
        <is>
          <t>10%</t>
        </is>
      </c>
      <c r="M72" s="10">
        <f>B72+14</f>
        <v/>
      </c>
      <c r="N72" s="10">
        <f>B72+18</f>
        <v/>
      </c>
      <c r="O72" s="9" t="inlineStr">
        <is>
          <t>未発注</t>
        </is>
      </c>
      <c r="P72" s="11" t="inlineStr">
        <is>
          <t>—</t>
        </is>
      </c>
    </row>
    <row r="73">
      <c r="A73" s="9" t="n">
        <v>70</v>
      </c>
      <c r="B73" s="10">
        <f>DATE(2026,10,14)</f>
        <v/>
      </c>
      <c r="C73" s="9" t="inlineStr">
        <is>
          <t>V024</t>
        </is>
      </c>
      <c r="D73" s="11">
        <f>IFERROR(VLOOKUP(C73,取引先マスタ!A:E,2,FALSE),"")</f>
        <v/>
      </c>
      <c r="E73" s="9" t="inlineStr">
        <is>
          <t>P001</t>
        </is>
      </c>
      <c r="F73" s="11">
        <f>IFERROR(VLOOKUP(E73,案件マスタ!A:D,2,FALSE),"")</f>
        <v/>
      </c>
      <c r="G73" s="11" t="inlineStr">
        <is>
          <t>ノートPC</t>
        </is>
      </c>
      <c r="H73" s="9" t="inlineStr">
        <is>
          <t>台</t>
        </is>
      </c>
      <c r="I73" s="9" t="n">
        <v>2</v>
      </c>
      <c r="J73" s="12" t="n">
        <v>145000</v>
      </c>
      <c r="K73" s="12">
        <f>IF(AND(I73&lt;&gt;"",J73&lt;&gt;""),I73*J73,"")</f>
        <v/>
      </c>
      <c r="L73" s="9" t="inlineStr">
        <is>
          <t>10%</t>
        </is>
      </c>
      <c r="M73" s="10">
        <f>B73+14</f>
        <v/>
      </c>
      <c r="N73" s="11" t="n"/>
      <c r="O73" s="9" t="inlineStr">
        <is>
          <t>保留</t>
        </is>
      </c>
      <c r="P73" s="11" t="inlineStr">
        <is>
          <t>—</t>
        </is>
      </c>
    </row>
    <row r="74">
      <c r="A74" s="9" t="n">
        <v>71</v>
      </c>
      <c r="B74" s="10">
        <f>DATE(2026,11,15)</f>
        <v/>
      </c>
      <c r="C74" s="9" t="inlineStr">
        <is>
          <t>V024</t>
        </is>
      </c>
      <c r="D74" s="11">
        <f>IFERROR(VLOOKUP(C74,取引先マスタ!A:E,2,FALSE),"")</f>
        <v/>
      </c>
      <c r="E74" s="9" t="inlineStr">
        <is>
          <t>P002</t>
        </is>
      </c>
      <c r="F74" s="11">
        <f>IFERROR(VLOOKUP(E74,案件マスタ!A:D,2,FALSE),"")</f>
        <v/>
      </c>
      <c r="G74" s="11" t="inlineStr">
        <is>
          <t>外付けHDD 4TB</t>
        </is>
      </c>
      <c r="H74" s="9" t="inlineStr">
        <is>
          <t>台</t>
        </is>
      </c>
      <c r="I74" s="9" t="n">
        <v>3</v>
      </c>
      <c r="J74" s="12" t="n">
        <v>9800</v>
      </c>
      <c r="K74" s="12">
        <f>IF(AND(I74&lt;&gt;"",J74&lt;&gt;""),I74*J74,"")</f>
        <v/>
      </c>
      <c r="L74" s="9" t="inlineStr">
        <is>
          <t>10%</t>
        </is>
      </c>
      <c r="M74" s="10">
        <f>B74+14</f>
        <v/>
      </c>
      <c r="N74" s="11" t="n"/>
      <c r="O74" s="9" t="inlineStr">
        <is>
          <t>未発注</t>
        </is>
      </c>
      <c r="P74" s="11" t="inlineStr">
        <is>
          <t>—</t>
        </is>
      </c>
    </row>
    <row r="75">
      <c r="A75" s="9" t="n">
        <v>72</v>
      </c>
      <c r="B75" s="10">
        <f>DATE(2026,12,16)</f>
        <v/>
      </c>
      <c r="C75" s="9" t="inlineStr">
        <is>
          <t>V024</t>
        </is>
      </c>
      <c r="D75" s="11">
        <f>IFERROR(VLOOKUP(C75,取引先マスタ!A:E,2,FALSE),"")</f>
        <v/>
      </c>
      <c r="E75" s="9" t="inlineStr">
        <is>
          <t>P003</t>
        </is>
      </c>
      <c r="F75" s="11">
        <f>IFERROR(VLOOKUP(E75,案件マスタ!A:D,2,FALSE),"")</f>
        <v/>
      </c>
      <c r="G75" s="11" t="inlineStr">
        <is>
          <t>オフィスデスク</t>
        </is>
      </c>
      <c r="H75" s="9" t="inlineStr">
        <is>
          <t>台</t>
        </is>
      </c>
      <c r="I75" s="9" t="n">
        <v>2</v>
      </c>
      <c r="J75" s="12" t="n">
        <v>38000</v>
      </c>
      <c r="K75" s="12">
        <f>IF(AND(I75&lt;&gt;"",J75&lt;&gt;""),I75*J75,"")</f>
        <v/>
      </c>
      <c r="L75" s="9" t="inlineStr">
        <is>
          <t>10%</t>
        </is>
      </c>
      <c r="M75" s="10">
        <f>B75+14</f>
        <v/>
      </c>
      <c r="N75" s="11" t="n"/>
      <c r="O75" s="9" t="inlineStr">
        <is>
          <t>発注済</t>
        </is>
      </c>
      <c r="P75" s="11" t="inlineStr">
        <is>
          <t>—</t>
        </is>
      </c>
    </row>
    <row r="76">
      <c r="A76" s="9" t="n">
        <v>73</v>
      </c>
      <c r="B76" s="10">
        <f>DATE(2026,1,17)</f>
        <v/>
      </c>
      <c r="C76" s="9" t="inlineStr">
        <is>
          <t>V025</t>
        </is>
      </c>
      <c r="D76" s="11">
        <f>IFERROR(VLOOKUP(C76,取引先マスタ!A:E,2,FALSE),"")</f>
        <v/>
      </c>
      <c r="E76" s="9" t="inlineStr">
        <is>
          <t>P001</t>
        </is>
      </c>
      <c r="F76" s="11">
        <f>IFERROR(VLOOKUP(E76,案件マスタ!A:D,2,FALSE),"")</f>
        <v/>
      </c>
      <c r="G76" s="11" t="inlineStr">
        <is>
          <t>外付けHDD 4TB</t>
        </is>
      </c>
      <c r="H76" s="9" t="inlineStr">
        <is>
          <t>台</t>
        </is>
      </c>
      <c r="I76" s="9" t="n">
        <v>3</v>
      </c>
      <c r="J76" s="12" t="n">
        <v>9800</v>
      </c>
      <c r="K76" s="12">
        <f>IF(AND(I76&lt;&gt;"",J76&lt;&gt;""),I76*J76,"")</f>
        <v/>
      </c>
      <c r="L76" s="9" t="inlineStr">
        <is>
          <t>10%</t>
        </is>
      </c>
      <c r="M76" s="10">
        <f>B76+14</f>
        <v/>
      </c>
      <c r="N76" s="10">
        <f>B76+18</f>
        <v/>
      </c>
      <c r="O76" s="9" t="inlineStr">
        <is>
          <t>未発注</t>
        </is>
      </c>
      <c r="P76" s="11" t="inlineStr">
        <is>
          <t>—</t>
        </is>
      </c>
    </row>
    <row r="77">
      <c r="A77" s="9" t="n">
        <v>74</v>
      </c>
      <c r="B77" s="10">
        <f>DATE(2026,2,18)</f>
        <v/>
      </c>
      <c r="C77" s="9" t="inlineStr">
        <is>
          <t>V025</t>
        </is>
      </c>
      <c r="D77" s="11">
        <f>IFERROR(VLOOKUP(C77,取引先マスタ!A:E,2,FALSE),"")</f>
        <v/>
      </c>
      <c r="E77" s="9" t="inlineStr">
        <is>
          <t>P002</t>
        </is>
      </c>
      <c r="F77" s="11">
        <f>IFERROR(VLOOKUP(E77,案件マスタ!A:D,2,FALSE),"")</f>
        <v/>
      </c>
      <c r="G77" s="11" t="inlineStr">
        <is>
          <t>オフィスデスク</t>
        </is>
      </c>
      <c r="H77" s="9" t="inlineStr">
        <is>
          <t>台</t>
        </is>
      </c>
      <c r="I77" s="9" t="n">
        <v>2</v>
      </c>
      <c r="J77" s="12" t="n">
        <v>38000</v>
      </c>
      <c r="K77" s="12">
        <f>IF(AND(I77&lt;&gt;"",J77&lt;&gt;""),I77*J77,"")</f>
        <v/>
      </c>
      <c r="L77" s="9" t="inlineStr">
        <is>
          <t>10%</t>
        </is>
      </c>
      <c r="M77" s="10">
        <f>B77+14</f>
        <v/>
      </c>
      <c r="N77" s="11" t="n"/>
      <c r="O77" s="9" t="inlineStr">
        <is>
          <t>発注済</t>
        </is>
      </c>
      <c r="P77" s="11" t="inlineStr">
        <is>
          <t>—</t>
        </is>
      </c>
    </row>
    <row r="78">
      <c r="A78" s="9" t="n">
        <v>75</v>
      </c>
      <c r="B78" s="10">
        <f>DATE(2026,3,19)</f>
        <v/>
      </c>
      <c r="C78" s="9" t="inlineStr">
        <is>
          <t>V025</t>
        </is>
      </c>
      <c r="D78" s="11">
        <f>IFERROR(VLOOKUP(C78,取引先マスタ!A:E,2,FALSE),"")</f>
        <v/>
      </c>
      <c r="E78" s="9" t="inlineStr">
        <is>
          <t>P003</t>
        </is>
      </c>
      <c r="F78" s="11">
        <f>IFERROR(VLOOKUP(E78,案件マスタ!A:D,2,FALSE),"")</f>
        <v/>
      </c>
      <c r="G78" s="11" t="inlineStr">
        <is>
          <t>ホワイトボード</t>
        </is>
      </c>
      <c r="H78" s="9" t="inlineStr">
        <is>
          <t>台</t>
        </is>
      </c>
      <c r="I78" s="9" t="n">
        <v>1</v>
      </c>
      <c r="J78" s="12" t="n">
        <v>22000</v>
      </c>
      <c r="K78" s="12">
        <f>IF(AND(I78&lt;&gt;"",J78&lt;&gt;""),I78*J78,"")</f>
        <v/>
      </c>
      <c r="L78" s="9" t="inlineStr">
        <is>
          <t>10%</t>
        </is>
      </c>
      <c r="M78" s="10">
        <f>B78+14</f>
        <v/>
      </c>
      <c r="N78" s="11" t="n"/>
      <c r="O78" s="9" t="inlineStr">
        <is>
          <t>納品待ち</t>
        </is>
      </c>
      <c r="P78" s="11" t="inlineStr">
        <is>
          <t>—</t>
        </is>
      </c>
    </row>
    <row r="79">
      <c r="A79" s="9" t="n">
        <v>76</v>
      </c>
      <c r="B79" s="10">
        <f>DATE(2026,4,20)</f>
        <v/>
      </c>
      <c r="C79" s="9" t="inlineStr">
        <is>
          <t>V026</t>
        </is>
      </c>
      <c r="D79" s="11">
        <f>IFERROR(VLOOKUP(C79,取引先マスタ!A:E,2,FALSE),"")</f>
        <v/>
      </c>
      <c r="E79" s="9" t="inlineStr">
        <is>
          <t>P001</t>
        </is>
      </c>
      <c r="F79" s="11">
        <f>IFERROR(VLOOKUP(E79,案件マスタ!A:D,2,FALSE),"")</f>
        <v/>
      </c>
      <c r="G79" s="11" t="inlineStr">
        <is>
          <t>オフィスデスク</t>
        </is>
      </c>
      <c r="H79" s="9" t="inlineStr">
        <is>
          <t>台</t>
        </is>
      </c>
      <c r="I79" s="9" t="n">
        <v>2</v>
      </c>
      <c r="J79" s="12" t="n">
        <v>38000</v>
      </c>
      <c r="K79" s="12">
        <f>IF(AND(I79&lt;&gt;"",J79&lt;&gt;""),I79*J79,"")</f>
        <v/>
      </c>
      <c r="L79" s="9" t="inlineStr">
        <is>
          <t>10%</t>
        </is>
      </c>
      <c r="M79" s="10">
        <f>B79+14</f>
        <v/>
      </c>
      <c r="N79" s="11" t="n"/>
      <c r="O79" s="9" t="inlineStr">
        <is>
          <t>発注済</t>
        </is>
      </c>
      <c r="P79" s="11" t="inlineStr">
        <is>
          <t>—</t>
        </is>
      </c>
    </row>
    <row r="80">
      <c r="A80" s="9" t="n">
        <v>77</v>
      </c>
      <c r="B80" s="10">
        <f>DATE(2026,5,21)</f>
        <v/>
      </c>
      <c r="C80" s="9" t="inlineStr">
        <is>
          <t>V026</t>
        </is>
      </c>
      <c r="D80" s="11">
        <f>IFERROR(VLOOKUP(C80,取引先マスタ!A:E,2,FALSE),"")</f>
        <v/>
      </c>
      <c r="E80" s="9" t="inlineStr">
        <is>
          <t>P002</t>
        </is>
      </c>
      <c r="F80" s="11">
        <f>IFERROR(VLOOKUP(E80,案件マスタ!A:D,2,FALSE),"")</f>
        <v/>
      </c>
      <c r="G80" s="11" t="inlineStr">
        <is>
          <t>ホワイトボード</t>
        </is>
      </c>
      <c r="H80" s="9" t="inlineStr">
        <is>
          <t>台</t>
        </is>
      </c>
      <c r="I80" s="9" t="n">
        <v>1</v>
      </c>
      <c r="J80" s="12" t="n">
        <v>22000</v>
      </c>
      <c r="K80" s="12">
        <f>IF(AND(I80&lt;&gt;"",J80&lt;&gt;""),I80*J80,"")</f>
        <v/>
      </c>
      <c r="L80" s="9" t="inlineStr">
        <is>
          <t>10%</t>
        </is>
      </c>
      <c r="M80" s="10">
        <f>B80+14</f>
        <v/>
      </c>
      <c r="N80" s="10">
        <f>B80+18</f>
        <v/>
      </c>
      <c r="O80" s="9" t="inlineStr">
        <is>
          <t>納品待ち</t>
        </is>
      </c>
      <c r="P80" s="11" t="inlineStr">
        <is>
          <t>—</t>
        </is>
      </c>
    </row>
    <row r="81">
      <c r="A81" s="9" t="n">
        <v>78</v>
      </c>
      <c r="B81" s="10">
        <f>DATE(2026,6,22)</f>
        <v/>
      </c>
      <c r="C81" s="9" t="inlineStr">
        <is>
          <t>V026</t>
        </is>
      </c>
      <c r="D81" s="11">
        <f>IFERROR(VLOOKUP(C81,取引先マスタ!A:E,2,FALSE),"")</f>
        <v/>
      </c>
      <c r="E81" s="9" t="inlineStr">
        <is>
          <t>P003</t>
        </is>
      </c>
      <c r="F81" s="11">
        <f>IFERROR(VLOOKUP(E81,案件マスタ!A:D,2,FALSE),"")</f>
        <v/>
      </c>
      <c r="G81" s="11" t="inlineStr">
        <is>
          <t>プロジェクター</t>
        </is>
      </c>
      <c r="H81" s="9" t="inlineStr">
        <is>
          <t>台</t>
        </is>
      </c>
      <c r="I81" s="9" t="n">
        <v>1</v>
      </c>
      <c r="J81" s="12" t="n">
        <v>65000</v>
      </c>
      <c r="K81" s="12">
        <f>IF(AND(I81&lt;&gt;"",J81&lt;&gt;""),I81*J81,"")</f>
        <v/>
      </c>
      <c r="L81" s="9" t="inlineStr">
        <is>
          <t>10%</t>
        </is>
      </c>
      <c r="M81" s="10">
        <f>B81+14</f>
        <v/>
      </c>
      <c r="N81" s="11" t="n"/>
      <c r="O81" s="9" t="inlineStr">
        <is>
          <t>検収済</t>
        </is>
      </c>
      <c r="P81" s="11" t="inlineStr">
        <is>
          <t>—</t>
        </is>
      </c>
    </row>
    <row r="82">
      <c r="A82" s="9" t="n">
        <v>79</v>
      </c>
      <c r="B82" s="10">
        <f>DATE(2026,7,23)</f>
        <v/>
      </c>
      <c r="C82" s="9" t="inlineStr">
        <is>
          <t>V027</t>
        </is>
      </c>
      <c r="D82" s="11">
        <f>IFERROR(VLOOKUP(C82,取引先マスタ!A:E,2,FALSE),"")</f>
        <v/>
      </c>
      <c r="E82" s="9" t="inlineStr">
        <is>
          <t>P001</t>
        </is>
      </c>
      <c r="F82" s="11">
        <f>IFERROR(VLOOKUP(E82,案件マスタ!A:D,2,FALSE),"")</f>
        <v/>
      </c>
      <c r="G82" s="11" t="inlineStr">
        <is>
          <t>ホワイトボード</t>
        </is>
      </c>
      <c r="H82" s="9" t="inlineStr">
        <is>
          <t>台</t>
        </is>
      </c>
      <c r="I82" s="9" t="n">
        <v>1</v>
      </c>
      <c r="J82" s="12" t="n">
        <v>22000</v>
      </c>
      <c r="K82" s="12">
        <f>IF(AND(I82&lt;&gt;"",J82&lt;&gt;""),I82*J82,"")</f>
        <v/>
      </c>
      <c r="L82" s="9" t="inlineStr">
        <is>
          <t>10%</t>
        </is>
      </c>
      <c r="M82" s="10">
        <f>B82+14</f>
        <v/>
      </c>
      <c r="N82" s="11" t="n"/>
      <c r="O82" s="9" t="inlineStr">
        <is>
          <t>納品待ち</t>
        </is>
      </c>
      <c r="P82" s="11" t="inlineStr">
        <is>
          <t>—</t>
        </is>
      </c>
    </row>
    <row r="83">
      <c r="A83" s="9" t="n">
        <v>80</v>
      </c>
      <c r="B83" s="10">
        <f>DATE(2026,8,24)</f>
        <v/>
      </c>
      <c r="C83" s="9" t="inlineStr">
        <is>
          <t>V027</t>
        </is>
      </c>
      <c r="D83" s="11">
        <f>IFERROR(VLOOKUP(C83,取引先マスタ!A:E,2,FALSE),"")</f>
        <v/>
      </c>
      <c r="E83" s="9" t="inlineStr">
        <is>
          <t>P002</t>
        </is>
      </c>
      <c r="F83" s="11">
        <f>IFERROR(VLOOKUP(E83,案件マスタ!A:D,2,FALSE),"")</f>
        <v/>
      </c>
      <c r="G83" s="11" t="inlineStr">
        <is>
          <t>プロジェクター</t>
        </is>
      </c>
      <c r="H83" s="9" t="inlineStr">
        <is>
          <t>台</t>
        </is>
      </c>
      <c r="I83" s="9" t="n">
        <v>1</v>
      </c>
      <c r="J83" s="12" t="n">
        <v>65000</v>
      </c>
      <c r="K83" s="12">
        <f>IF(AND(I83&lt;&gt;"",J83&lt;&gt;""),I83*J83,"")</f>
        <v/>
      </c>
      <c r="L83" s="9" t="inlineStr">
        <is>
          <t>10%</t>
        </is>
      </c>
      <c r="M83" s="10">
        <f>B83+14</f>
        <v/>
      </c>
      <c r="N83" s="11" t="n"/>
      <c r="O83" s="9" t="inlineStr">
        <is>
          <t>検収済</t>
        </is>
      </c>
      <c r="P83" s="11" t="inlineStr">
        <is>
          <t>—</t>
        </is>
      </c>
    </row>
    <row r="84">
      <c r="A84" s="9" t="n">
        <v>81</v>
      </c>
      <c r="B84" s="10">
        <f>DATE(2026,9,25)</f>
        <v/>
      </c>
      <c r="C84" s="9" t="inlineStr">
        <is>
          <t>V027</t>
        </is>
      </c>
      <c r="D84" s="11">
        <f>IFERROR(VLOOKUP(C84,取引先マスタ!A:E,2,FALSE),"")</f>
        <v/>
      </c>
      <c r="E84" s="9" t="inlineStr">
        <is>
          <t>P003</t>
        </is>
      </c>
      <c r="F84" s="11">
        <f>IFERROR(VLOOKUP(E84,案件マスタ!A:D,2,FALSE),"")</f>
        <v/>
      </c>
      <c r="G84" s="11" t="inlineStr">
        <is>
          <t>複合機トナー</t>
        </is>
      </c>
      <c r="H84" s="9" t="inlineStr">
        <is>
          <t>本</t>
        </is>
      </c>
      <c r="I84" s="9" t="n">
        <v>4</v>
      </c>
      <c r="J84" s="12" t="n">
        <v>12500</v>
      </c>
      <c r="K84" s="12">
        <f>IF(AND(I84&lt;&gt;"",J84&lt;&gt;""),I84*J84,"")</f>
        <v/>
      </c>
      <c r="L84" s="9" t="inlineStr">
        <is>
          <t>10%</t>
        </is>
      </c>
      <c r="M84" s="10">
        <f>B84+14</f>
        <v/>
      </c>
      <c r="N84" s="10">
        <f>B84+18</f>
        <v/>
      </c>
      <c r="O84" s="9" t="inlineStr">
        <is>
          <t>完了</t>
        </is>
      </c>
      <c r="P84" s="11" t="inlineStr">
        <is>
          <t>—</t>
        </is>
      </c>
    </row>
    <row r="85">
      <c r="A85" s="9" t="n">
        <v>82</v>
      </c>
      <c r="B85" s="10">
        <f>DATE(2026,10,26)</f>
        <v/>
      </c>
      <c r="C85" s="9" t="inlineStr">
        <is>
          <t>V028</t>
        </is>
      </c>
      <c r="D85" s="11">
        <f>IFERROR(VLOOKUP(C85,取引先マスタ!A:E,2,FALSE),"")</f>
        <v/>
      </c>
      <c r="E85" s="9" t="inlineStr">
        <is>
          <t>P001</t>
        </is>
      </c>
      <c r="F85" s="11">
        <f>IFERROR(VLOOKUP(E85,案件マスタ!A:D,2,FALSE),"")</f>
        <v/>
      </c>
      <c r="G85" s="11" t="inlineStr">
        <is>
          <t>プロジェクター</t>
        </is>
      </c>
      <c r="H85" s="9" t="inlineStr">
        <is>
          <t>台</t>
        </is>
      </c>
      <c r="I85" s="9" t="n">
        <v>1</v>
      </c>
      <c r="J85" s="12" t="n">
        <v>65000</v>
      </c>
      <c r="K85" s="12">
        <f>IF(AND(I85&lt;&gt;"",J85&lt;&gt;""),I85*J85,"")</f>
        <v/>
      </c>
      <c r="L85" s="9" t="inlineStr">
        <is>
          <t>10%</t>
        </is>
      </c>
      <c r="M85" s="10">
        <f>B85+14</f>
        <v/>
      </c>
      <c r="N85" s="11" t="n"/>
      <c r="O85" s="9" t="inlineStr">
        <is>
          <t>検収済</t>
        </is>
      </c>
      <c r="P85" s="11" t="inlineStr">
        <is>
          <t>—</t>
        </is>
      </c>
    </row>
    <row r="86">
      <c r="A86" s="9" t="n">
        <v>83</v>
      </c>
      <c r="B86" s="10">
        <f>DATE(2026,11,27)</f>
        <v/>
      </c>
      <c r="C86" s="9" t="inlineStr">
        <is>
          <t>V028</t>
        </is>
      </c>
      <c r="D86" s="11">
        <f>IFERROR(VLOOKUP(C86,取引先マスタ!A:E,2,FALSE),"")</f>
        <v/>
      </c>
      <c r="E86" s="9" t="inlineStr">
        <is>
          <t>P002</t>
        </is>
      </c>
      <c r="F86" s="11">
        <f>IFERROR(VLOOKUP(E86,案件マスタ!A:D,2,FALSE),"")</f>
        <v/>
      </c>
      <c r="G86" s="11" t="inlineStr">
        <is>
          <t>複合機トナー</t>
        </is>
      </c>
      <c r="H86" s="9" t="inlineStr">
        <is>
          <t>本</t>
        </is>
      </c>
      <c r="I86" s="9" t="n">
        <v>4</v>
      </c>
      <c r="J86" s="12" t="n">
        <v>12500</v>
      </c>
      <c r="K86" s="12">
        <f>IF(AND(I86&lt;&gt;"",J86&lt;&gt;""),I86*J86,"")</f>
        <v/>
      </c>
      <c r="L86" s="9" t="inlineStr">
        <is>
          <t>10%</t>
        </is>
      </c>
      <c r="M86" s="10">
        <f>B86+14</f>
        <v/>
      </c>
      <c r="N86" s="11" t="n"/>
      <c r="O86" s="9" t="inlineStr">
        <is>
          <t>完了</t>
        </is>
      </c>
      <c r="P86" s="11" t="inlineStr">
        <is>
          <t>—</t>
        </is>
      </c>
    </row>
    <row r="87">
      <c r="A87" s="9" t="n">
        <v>84</v>
      </c>
      <c r="B87" s="10">
        <f>DATE(2026,12,28)</f>
        <v/>
      </c>
      <c r="C87" s="9" t="inlineStr">
        <is>
          <t>V028</t>
        </is>
      </c>
      <c r="D87" s="11">
        <f>IFERROR(VLOOKUP(C87,取引先マスタ!A:E,2,FALSE),"")</f>
        <v/>
      </c>
      <c r="E87" s="9" t="inlineStr">
        <is>
          <t>P003</t>
        </is>
      </c>
      <c r="F87" s="11">
        <f>IFERROR(VLOOKUP(E87,案件マスタ!A:D,2,FALSE),"")</f>
        <v/>
      </c>
      <c r="G87" s="11" t="inlineStr">
        <is>
          <t>応接ソファ</t>
        </is>
      </c>
      <c r="H87" s="9" t="inlineStr">
        <is>
          <t>セット</t>
        </is>
      </c>
      <c r="I87" s="9" t="n">
        <v>1</v>
      </c>
      <c r="J87" s="12" t="n">
        <v>158000</v>
      </c>
      <c r="K87" s="12">
        <f>IF(AND(I87&lt;&gt;"",J87&lt;&gt;""),I87*J87,"")</f>
        <v/>
      </c>
      <c r="L87" s="9" t="inlineStr">
        <is>
          <t>10%</t>
        </is>
      </c>
      <c r="M87" s="10">
        <f>B87+14</f>
        <v/>
      </c>
      <c r="N87" s="11" t="n"/>
      <c r="O87" s="9" t="inlineStr">
        <is>
          <t>保留</t>
        </is>
      </c>
      <c r="P87" s="11" t="inlineStr">
        <is>
          <t>—</t>
        </is>
      </c>
    </row>
    <row r="88">
      <c r="A88" s="9" t="n">
        <v>85</v>
      </c>
      <c r="B88" s="10">
        <f>DATE(2026,1,1)</f>
        <v/>
      </c>
      <c r="C88" s="9" t="inlineStr">
        <is>
          <t>V029</t>
        </is>
      </c>
      <c r="D88" s="11">
        <f>IFERROR(VLOOKUP(C88,取引先マスタ!A:E,2,FALSE),"")</f>
        <v/>
      </c>
      <c r="E88" s="9" t="inlineStr">
        <is>
          <t>P001</t>
        </is>
      </c>
      <c r="F88" s="11">
        <f>IFERROR(VLOOKUP(E88,案件マスタ!A:D,2,FALSE),"")</f>
        <v/>
      </c>
      <c r="G88" s="11" t="inlineStr">
        <is>
          <t>複合機トナー</t>
        </is>
      </c>
      <c r="H88" s="9" t="inlineStr">
        <is>
          <t>本</t>
        </is>
      </c>
      <c r="I88" s="9" t="n">
        <v>4</v>
      </c>
      <c r="J88" s="12" t="n">
        <v>12500</v>
      </c>
      <c r="K88" s="12">
        <f>IF(AND(I88&lt;&gt;"",J88&lt;&gt;""),I88*J88,"")</f>
        <v/>
      </c>
      <c r="L88" s="9" t="inlineStr">
        <is>
          <t>10%</t>
        </is>
      </c>
      <c r="M88" s="10">
        <f>B88+14</f>
        <v/>
      </c>
      <c r="N88" s="10">
        <f>B88+18</f>
        <v/>
      </c>
      <c r="O88" s="9" t="inlineStr">
        <is>
          <t>完了</t>
        </is>
      </c>
      <c r="P88" s="11" t="inlineStr">
        <is>
          <t>—</t>
        </is>
      </c>
    </row>
    <row r="89">
      <c r="A89" s="9" t="n">
        <v>86</v>
      </c>
      <c r="B89" s="10">
        <f>DATE(2026,2,2)</f>
        <v/>
      </c>
      <c r="C89" s="9" t="inlineStr">
        <is>
          <t>V029</t>
        </is>
      </c>
      <c r="D89" s="11">
        <f>IFERROR(VLOOKUP(C89,取引先マスタ!A:E,2,FALSE),"")</f>
        <v/>
      </c>
      <c r="E89" s="9" t="inlineStr">
        <is>
          <t>P002</t>
        </is>
      </c>
      <c r="F89" s="11">
        <f>IFERROR(VLOOKUP(E89,案件マスタ!A:D,2,FALSE),"")</f>
        <v/>
      </c>
      <c r="G89" s="11" t="inlineStr">
        <is>
          <t>応接ソファ</t>
        </is>
      </c>
      <c r="H89" s="9" t="inlineStr">
        <is>
          <t>セット</t>
        </is>
      </c>
      <c r="I89" s="9" t="n">
        <v>1</v>
      </c>
      <c r="J89" s="12" t="n">
        <v>158000</v>
      </c>
      <c r="K89" s="12">
        <f>IF(AND(I89&lt;&gt;"",J89&lt;&gt;""),I89*J89,"")</f>
        <v/>
      </c>
      <c r="L89" s="9" t="inlineStr">
        <is>
          <t>10%</t>
        </is>
      </c>
      <c r="M89" s="10">
        <f>B89+14</f>
        <v/>
      </c>
      <c r="N89" s="11" t="n"/>
      <c r="O89" s="9" t="inlineStr">
        <is>
          <t>保留</t>
        </is>
      </c>
      <c r="P89" s="11" t="inlineStr">
        <is>
          <t>—</t>
        </is>
      </c>
    </row>
    <row r="90">
      <c r="A90" s="9" t="n">
        <v>87</v>
      </c>
      <c r="B90" s="10">
        <f>DATE(2026,3,3)</f>
        <v/>
      </c>
      <c r="C90" s="9" t="inlineStr">
        <is>
          <t>V029</t>
        </is>
      </c>
      <c r="D90" s="11">
        <f>IFERROR(VLOOKUP(C90,取引先マスタ!A:E,2,FALSE),"")</f>
        <v/>
      </c>
      <c r="E90" s="9" t="inlineStr">
        <is>
          <t>P003</t>
        </is>
      </c>
      <c r="F90" s="11">
        <f>IFERROR(VLOOKUP(E90,案件マスタ!A:D,2,FALSE),"")</f>
        <v/>
      </c>
      <c r="G90" s="11" t="inlineStr">
        <is>
          <t>文具一式</t>
        </is>
      </c>
      <c r="H90" s="9" t="inlineStr">
        <is>
          <t>式</t>
        </is>
      </c>
      <c r="I90" s="9" t="n">
        <v>1</v>
      </c>
      <c r="J90" s="12" t="n">
        <v>12000</v>
      </c>
      <c r="K90" s="12">
        <f>IF(AND(I90&lt;&gt;"",J90&lt;&gt;""),I90*J90,"")</f>
        <v/>
      </c>
      <c r="L90" s="9" t="inlineStr">
        <is>
          <t>10%</t>
        </is>
      </c>
      <c r="M90" s="10">
        <f>B90+14</f>
        <v/>
      </c>
      <c r="N90" s="11" t="n"/>
      <c r="O90" s="9" t="inlineStr">
        <is>
          <t>未発注</t>
        </is>
      </c>
      <c r="P90" s="11" t="inlineStr">
        <is>
          <t>—</t>
        </is>
      </c>
    </row>
    <row r="91">
      <c r="A91" s="9" t="n">
        <v>88</v>
      </c>
      <c r="B91" s="10">
        <f>DATE(2026,4,4)</f>
        <v/>
      </c>
      <c r="C91" s="9" t="inlineStr">
        <is>
          <t>V030</t>
        </is>
      </c>
      <c r="D91" s="11">
        <f>IFERROR(VLOOKUP(C91,取引先マスタ!A:E,2,FALSE),"")</f>
        <v/>
      </c>
      <c r="E91" s="9" t="inlineStr">
        <is>
          <t>P001</t>
        </is>
      </c>
      <c r="F91" s="11">
        <f>IFERROR(VLOOKUP(E91,案件マスタ!A:D,2,FALSE),"")</f>
        <v/>
      </c>
      <c r="G91" s="11" t="inlineStr">
        <is>
          <t>応接ソファ</t>
        </is>
      </c>
      <c r="H91" s="9" t="inlineStr">
        <is>
          <t>セット</t>
        </is>
      </c>
      <c r="I91" s="9" t="n">
        <v>1</v>
      </c>
      <c r="J91" s="12" t="n">
        <v>158000</v>
      </c>
      <c r="K91" s="12">
        <f>IF(AND(I91&lt;&gt;"",J91&lt;&gt;""),I91*J91,"")</f>
        <v/>
      </c>
      <c r="L91" s="9" t="inlineStr">
        <is>
          <t>10%</t>
        </is>
      </c>
      <c r="M91" s="10">
        <f>B91+14</f>
        <v/>
      </c>
      <c r="N91" s="11" t="n"/>
      <c r="O91" s="9" t="inlineStr">
        <is>
          <t>保留</t>
        </is>
      </c>
      <c r="P91" s="11" t="inlineStr">
        <is>
          <t>—</t>
        </is>
      </c>
    </row>
    <row r="92">
      <c r="A92" s="9" t="n">
        <v>89</v>
      </c>
      <c r="B92" s="10">
        <f>DATE(2026,5,5)</f>
        <v/>
      </c>
      <c r="C92" s="9" t="inlineStr">
        <is>
          <t>V030</t>
        </is>
      </c>
      <c r="D92" s="11">
        <f>IFERROR(VLOOKUP(C92,取引先マスタ!A:E,2,FALSE),"")</f>
        <v/>
      </c>
      <c r="E92" s="9" t="inlineStr">
        <is>
          <t>P002</t>
        </is>
      </c>
      <c r="F92" s="11">
        <f>IFERROR(VLOOKUP(E92,案件マスタ!A:D,2,FALSE),"")</f>
        <v/>
      </c>
      <c r="G92" s="11" t="inlineStr">
        <is>
          <t>文具一式</t>
        </is>
      </c>
      <c r="H92" s="9" t="inlineStr">
        <is>
          <t>式</t>
        </is>
      </c>
      <c r="I92" s="9" t="n">
        <v>1</v>
      </c>
      <c r="J92" s="12" t="n">
        <v>12000</v>
      </c>
      <c r="K92" s="12">
        <f>IF(AND(I92&lt;&gt;"",J92&lt;&gt;""),I92*J92,"")</f>
        <v/>
      </c>
      <c r="L92" s="9" t="inlineStr">
        <is>
          <t>10%</t>
        </is>
      </c>
      <c r="M92" s="10">
        <f>B92+14</f>
        <v/>
      </c>
      <c r="N92" s="10">
        <f>B92+18</f>
        <v/>
      </c>
      <c r="O92" s="9" t="inlineStr">
        <is>
          <t>未発注</t>
        </is>
      </c>
      <c r="P92" s="11" t="inlineStr">
        <is>
          <t>—</t>
        </is>
      </c>
    </row>
    <row r="93">
      <c r="A93" s="9" t="n">
        <v>90</v>
      </c>
      <c r="B93" s="10">
        <f>DATE(2026,6,6)</f>
        <v/>
      </c>
      <c r="C93" s="9" t="inlineStr">
        <is>
          <t>V030</t>
        </is>
      </c>
      <c r="D93" s="11">
        <f>IFERROR(VLOOKUP(C93,取引先マスタ!A:E,2,FALSE),"")</f>
        <v/>
      </c>
      <c r="E93" s="9" t="inlineStr">
        <is>
          <t>P003</t>
        </is>
      </c>
      <c r="F93" s="11">
        <f>IFERROR(VLOOKUP(E93,案件マスタ!A:D,2,FALSE),"")</f>
        <v/>
      </c>
      <c r="G93" s="11" t="inlineStr">
        <is>
          <t>オフィスチェア</t>
        </is>
      </c>
      <c r="H93" s="9" t="inlineStr">
        <is>
          <t>脚</t>
        </is>
      </c>
      <c r="I93" s="9" t="n">
        <v>4</v>
      </c>
      <c r="J93" s="12" t="n">
        <v>28000</v>
      </c>
      <c r="K93" s="12">
        <f>IF(AND(I93&lt;&gt;"",J93&lt;&gt;""),I93*J93,"")</f>
        <v/>
      </c>
      <c r="L93" s="9" t="inlineStr">
        <is>
          <t>10%</t>
        </is>
      </c>
      <c r="M93" s="10">
        <f>B93+14</f>
        <v/>
      </c>
      <c r="N93" s="11" t="n"/>
      <c r="O93" s="9" t="inlineStr">
        <is>
          <t>発注済</t>
        </is>
      </c>
      <c r="P93" s="11" t="inlineStr">
        <is>
          <t>—</t>
        </is>
      </c>
    </row>
    <row r="94">
      <c r="A94" s="9" t="n">
        <v>91</v>
      </c>
      <c r="B94" s="10">
        <f>DATE(2026,7,7)</f>
        <v/>
      </c>
      <c r="C94" s="9" t="inlineStr">
        <is>
          <t>V031</t>
        </is>
      </c>
      <c r="D94" s="11">
        <f>IFERROR(VLOOKUP(C94,取引先マスタ!A:E,2,FALSE),"")</f>
        <v/>
      </c>
      <c r="E94" s="9" t="inlineStr">
        <is>
          <t>P001</t>
        </is>
      </c>
      <c r="F94" s="11">
        <f>IFERROR(VLOOKUP(E94,案件マスタ!A:D,2,FALSE),"")</f>
        <v/>
      </c>
      <c r="G94" s="11" t="inlineStr">
        <is>
          <t>文具一式</t>
        </is>
      </c>
      <c r="H94" s="9" t="inlineStr">
        <is>
          <t>式</t>
        </is>
      </c>
      <c r="I94" s="9" t="n">
        <v>1</v>
      </c>
      <c r="J94" s="12" t="n">
        <v>12000</v>
      </c>
      <c r="K94" s="12">
        <f>IF(AND(I94&lt;&gt;"",J94&lt;&gt;""),I94*J94,"")</f>
        <v/>
      </c>
      <c r="L94" s="9" t="inlineStr">
        <is>
          <t>10%</t>
        </is>
      </c>
      <c r="M94" s="10">
        <f>B94+14</f>
        <v/>
      </c>
      <c r="N94" s="11" t="n"/>
      <c r="O94" s="9" t="inlineStr">
        <is>
          <t>未発注</t>
        </is>
      </c>
      <c r="P94" s="11" t="inlineStr">
        <is>
          <t>—</t>
        </is>
      </c>
    </row>
    <row r="95">
      <c r="A95" s="9" t="n">
        <v>92</v>
      </c>
      <c r="B95" s="10">
        <f>DATE(2026,8,8)</f>
        <v/>
      </c>
      <c r="C95" s="9" t="inlineStr">
        <is>
          <t>V031</t>
        </is>
      </c>
      <c r="D95" s="11">
        <f>IFERROR(VLOOKUP(C95,取引先マスタ!A:E,2,FALSE),"")</f>
        <v/>
      </c>
      <c r="E95" s="9" t="inlineStr">
        <is>
          <t>P002</t>
        </is>
      </c>
      <c r="F95" s="11">
        <f>IFERROR(VLOOKUP(E95,案件マスタ!A:D,2,FALSE),"")</f>
        <v/>
      </c>
      <c r="G95" s="11" t="inlineStr">
        <is>
          <t>オフィスチェア</t>
        </is>
      </c>
      <c r="H95" s="9" t="inlineStr">
        <is>
          <t>脚</t>
        </is>
      </c>
      <c r="I95" s="9" t="n">
        <v>4</v>
      </c>
      <c r="J95" s="12" t="n">
        <v>28000</v>
      </c>
      <c r="K95" s="12">
        <f>IF(AND(I95&lt;&gt;"",J95&lt;&gt;""),I95*J95,"")</f>
        <v/>
      </c>
      <c r="L95" s="9" t="inlineStr">
        <is>
          <t>10%</t>
        </is>
      </c>
      <c r="M95" s="10">
        <f>B95+14</f>
        <v/>
      </c>
      <c r="N95" s="11" t="n"/>
      <c r="O95" s="9" t="inlineStr">
        <is>
          <t>発注済</t>
        </is>
      </c>
      <c r="P95" s="11" t="inlineStr">
        <is>
          <t>—</t>
        </is>
      </c>
    </row>
    <row r="96">
      <c r="A96" s="9" t="n">
        <v>93</v>
      </c>
      <c r="B96" s="10">
        <f>DATE(2026,9,9)</f>
        <v/>
      </c>
      <c r="C96" s="9" t="inlineStr">
        <is>
          <t>V031</t>
        </is>
      </c>
      <c r="D96" s="11">
        <f>IFERROR(VLOOKUP(C96,取引先マスタ!A:E,2,FALSE),"")</f>
        <v/>
      </c>
      <c r="E96" s="9" t="inlineStr">
        <is>
          <t>P003</t>
        </is>
      </c>
      <c r="F96" s="11">
        <f>IFERROR(VLOOKUP(E96,案件マスタ!A:D,2,FALSE),"")</f>
        <v/>
      </c>
      <c r="G96" s="11" t="inlineStr">
        <is>
          <t>プリンター用紙</t>
        </is>
      </c>
      <c r="H96" s="9" t="inlineStr">
        <is>
          <t>箱</t>
        </is>
      </c>
      <c r="I96" s="9" t="n">
        <v>10</v>
      </c>
      <c r="J96" s="12" t="n">
        <v>3200</v>
      </c>
      <c r="K96" s="12">
        <f>IF(AND(I96&lt;&gt;"",J96&lt;&gt;""),I96*J96,"")</f>
        <v/>
      </c>
      <c r="L96" s="9" t="inlineStr">
        <is>
          <t>10%</t>
        </is>
      </c>
      <c r="M96" s="10">
        <f>B96+14</f>
        <v/>
      </c>
      <c r="N96" s="10">
        <f>B96+18</f>
        <v/>
      </c>
      <c r="O96" s="9" t="inlineStr">
        <is>
          <t>納品待ち</t>
        </is>
      </c>
      <c r="P96" s="11" t="inlineStr">
        <is>
          <t>—</t>
        </is>
      </c>
    </row>
    <row r="97">
      <c r="A97" s="9" t="n">
        <v>94</v>
      </c>
      <c r="B97" s="10">
        <f>DATE(2026,10,10)</f>
        <v/>
      </c>
      <c r="C97" s="9" t="inlineStr">
        <is>
          <t>V032</t>
        </is>
      </c>
      <c r="D97" s="11">
        <f>IFERROR(VLOOKUP(C97,取引先マスタ!A:E,2,FALSE),"")</f>
        <v/>
      </c>
      <c r="E97" s="9" t="inlineStr">
        <is>
          <t>P001</t>
        </is>
      </c>
      <c r="F97" s="11">
        <f>IFERROR(VLOOKUP(E97,案件マスタ!A:D,2,FALSE),"")</f>
        <v/>
      </c>
      <c r="G97" s="11" t="inlineStr">
        <is>
          <t>オフィスチェア</t>
        </is>
      </c>
      <c r="H97" s="9" t="inlineStr">
        <is>
          <t>脚</t>
        </is>
      </c>
      <c r="I97" s="9" t="n">
        <v>4</v>
      </c>
      <c r="J97" s="12" t="n">
        <v>28000</v>
      </c>
      <c r="K97" s="12">
        <f>IF(AND(I97&lt;&gt;"",J97&lt;&gt;""),I97*J97,"")</f>
        <v/>
      </c>
      <c r="L97" s="9" t="inlineStr">
        <is>
          <t>10%</t>
        </is>
      </c>
      <c r="M97" s="10">
        <f>B97+14</f>
        <v/>
      </c>
      <c r="N97" s="11" t="n"/>
      <c r="O97" s="9" t="inlineStr">
        <is>
          <t>発注済</t>
        </is>
      </c>
      <c r="P97" s="11" t="inlineStr">
        <is>
          <t>—</t>
        </is>
      </c>
    </row>
    <row r="98">
      <c r="A98" s="9" t="n">
        <v>95</v>
      </c>
      <c r="B98" s="10">
        <f>DATE(2026,11,11)</f>
        <v/>
      </c>
      <c r="C98" s="9" t="inlineStr">
        <is>
          <t>V032</t>
        </is>
      </c>
      <c r="D98" s="11">
        <f>IFERROR(VLOOKUP(C98,取引先マスタ!A:E,2,FALSE),"")</f>
        <v/>
      </c>
      <c r="E98" s="9" t="inlineStr">
        <is>
          <t>P002</t>
        </is>
      </c>
      <c r="F98" s="11">
        <f>IFERROR(VLOOKUP(E98,案件マスタ!A:D,2,FALSE),"")</f>
        <v/>
      </c>
      <c r="G98" s="11" t="inlineStr">
        <is>
          <t>プリンター用紙</t>
        </is>
      </c>
      <c r="H98" s="9" t="inlineStr">
        <is>
          <t>箱</t>
        </is>
      </c>
      <c r="I98" s="9" t="n">
        <v>10</v>
      </c>
      <c r="J98" s="12" t="n">
        <v>3200</v>
      </c>
      <c r="K98" s="12">
        <f>IF(AND(I98&lt;&gt;"",J98&lt;&gt;""),I98*J98,"")</f>
        <v/>
      </c>
      <c r="L98" s="9" t="inlineStr">
        <is>
          <t>10%</t>
        </is>
      </c>
      <c r="M98" s="10">
        <f>B98+14</f>
        <v/>
      </c>
      <c r="N98" s="11" t="n"/>
      <c r="O98" s="9" t="inlineStr">
        <is>
          <t>納品待ち</t>
        </is>
      </c>
      <c r="P98" s="11" t="inlineStr">
        <is>
          <t>—</t>
        </is>
      </c>
    </row>
    <row r="99">
      <c r="A99" s="9" t="n">
        <v>96</v>
      </c>
      <c r="B99" s="10">
        <f>DATE(2026,12,12)</f>
        <v/>
      </c>
      <c r="C99" s="9" t="inlineStr">
        <is>
          <t>V032</t>
        </is>
      </c>
      <c r="D99" s="11">
        <f>IFERROR(VLOOKUP(C99,取引先マスタ!A:E,2,FALSE),"")</f>
        <v/>
      </c>
      <c r="E99" s="9" t="inlineStr">
        <is>
          <t>P003</t>
        </is>
      </c>
      <c r="F99" s="11">
        <f>IFERROR(VLOOKUP(E99,案件マスタ!A:D,2,FALSE),"")</f>
        <v/>
      </c>
      <c r="G99" s="11" t="inlineStr">
        <is>
          <t>ノートPC</t>
        </is>
      </c>
      <c r="H99" s="9" t="inlineStr">
        <is>
          <t>台</t>
        </is>
      </c>
      <c r="I99" s="9" t="n">
        <v>2</v>
      </c>
      <c r="J99" s="12" t="n">
        <v>145000</v>
      </c>
      <c r="K99" s="12">
        <f>IF(AND(I99&lt;&gt;"",J99&lt;&gt;""),I99*J99,"")</f>
        <v/>
      </c>
      <c r="L99" s="9" t="inlineStr">
        <is>
          <t>10%</t>
        </is>
      </c>
      <c r="M99" s="10">
        <f>B99+14</f>
        <v/>
      </c>
      <c r="N99" s="11" t="n"/>
      <c r="O99" s="9" t="inlineStr">
        <is>
          <t>検収済</t>
        </is>
      </c>
      <c r="P99" s="11" t="inlineStr">
        <is>
          <t>—</t>
        </is>
      </c>
    </row>
    <row r="100">
      <c r="A100" s="9" t="n">
        <v>97</v>
      </c>
      <c r="B100" s="10">
        <f>DATE(2026,1,13)</f>
        <v/>
      </c>
      <c r="C100" s="9" t="inlineStr">
        <is>
          <t>V033</t>
        </is>
      </c>
      <c r="D100" s="11">
        <f>IFERROR(VLOOKUP(C100,取引先マスタ!A:E,2,FALSE),"")</f>
        <v/>
      </c>
      <c r="E100" s="9" t="inlineStr">
        <is>
          <t>P001</t>
        </is>
      </c>
      <c r="F100" s="11">
        <f>IFERROR(VLOOKUP(E100,案件マスタ!A:D,2,FALSE),"")</f>
        <v/>
      </c>
      <c r="G100" s="11" t="inlineStr">
        <is>
          <t>プリンター用紙</t>
        </is>
      </c>
      <c r="H100" s="9" t="inlineStr">
        <is>
          <t>箱</t>
        </is>
      </c>
      <c r="I100" s="9" t="n">
        <v>10</v>
      </c>
      <c r="J100" s="12" t="n">
        <v>3200</v>
      </c>
      <c r="K100" s="12">
        <f>IF(AND(I100&lt;&gt;"",J100&lt;&gt;""),I100*J100,"")</f>
        <v/>
      </c>
      <c r="L100" s="9" t="inlineStr">
        <is>
          <t>10%</t>
        </is>
      </c>
      <c r="M100" s="10">
        <f>B100+14</f>
        <v/>
      </c>
      <c r="N100" s="10">
        <f>B100+18</f>
        <v/>
      </c>
      <c r="O100" s="9" t="inlineStr">
        <is>
          <t>納品待ち</t>
        </is>
      </c>
      <c r="P100" s="11" t="inlineStr">
        <is>
          <t>—</t>
        </is>
      </c>
    </row>
    <row r="101">
      <c r="A101" s="9" t="n">
        <v>98</v>
      </c>
      <c r="B101" s="10">
        <f>DATE(2026,2,14)</f>
        <v/>
      </c>
      <c r="C101" s="9" t="inlineStr">
        <is>
          <t>V033</t>
        </is>
      </c>
      <c r="D101" s="11">
        <f>IFERROR(VLOOKUP(C101,取引先マスタ!A:E,2,FALSE),"")</f>
        <v/>
      </c>
      <c r="E101" s="9" t="inlineStr">
        <is>
          <t>P002</t>
        </is>
      </c>
      <c r="F101" s="11">
        <f>IFERROR(VLOOKUP(E101,案件マスタ!A:D,2,FALSE),"")</f>
        <v/>
      </c>
      <c r="G101" s="11" t="inlineStr">
        <is>
          <t>ノートPC</t>
        </is>
      </c>
      <c r="H101" s="9" t="inlineStr">
        <is>
          <t>台</t>
        </is>
      </c>
      <c r="I101" s="9" t="n">
        <v>2</v>
      </c>
      <c r="J101" s="12" t="n">
        <v>145000</v>
      </c>
      <c r="K101" s="12">
        <f>IF(AND(I101&lt;&gt;"",J101&lt;&gt;""),I101*J101,"")</f>
        <v/>
      </c>
      <c r="L101" s="9" t="inlineStr">
        <is>
          <t>10%</t>
        </is>
      </c>
      <c r="M101" s="10">
        <f>B101+14</f>
        <v/>
      </c>
      <c r="N101" s="11" t="n"/>
      <c r="O101" s="9" t="inlineStr">
        <is>
          <t>検収済</t>
        </is>
      </c>
      <c r="P101" s="11" t="inlineStr">
        <is>
          <t>—</t>
        </is>
      </c>
    </row>
    <row r="102">
      <c r="A102" s="9" t="n">
        <v>99</v>
      </c>
      <c r="B102" s="10">
        <f>DATE(2026,3,15)</f>
        <v/>
      </c>
      <c r="C102" s="9" t="inlineStr">
        <is>
          <t>V033</t>
        </is>
      </c>
      <c r="D102" s="11">
        <f>IFERROR(VLOOKUP(C102,取引先マスタ!A:E,2,FALSE),"")</f>
        <v/>
      </c>
      <c r="E102" s="9" t="inlineStr">
        <is>
          <t>P003</t>
        </is>
      </c>
      <c r="F102" s="11">
        <f>IFERROR(VLOOKUP(E102,案件マスタ!A:D,2,FALSE),"")</f>
        <v/>
      </c>
      <c r="G102" s="11" t="inlineStr">
        <is>
          <t>外付けHDD 4TB</t>
        </is>
      </c>
      <c r="H102" s="9" t="inlineStr">
        <is>
          <t>台</t>
        </is>
      </c>
      <c r="I102" s="9" t="n">
        <v>3</v>
      </c>
      <c r="J102" s="12" t="n">
        <v>9800</v>
      </c>
      <c r="K102" s="12">
        <f>IF(AND(I102&lt;&gt;"",J102&lt;&gt;""),I102*J102,"")</f>
        <v/>
      </c>
      <c r="L102" s="9" t="inlineStr">
        <is>
          <t>10%</t>
        </is>
      </c>
      <c r="M102" s="10">
        <f>B102+14</f>
        <v/>
      </c>
      <c r="N102" s="11" t="n"/>
      <c r="O102" s="9" t="inlineStr">
        <is>
          <t>完了</t>
        </is>
      </c>
      <c r="P102" s="11" t="inlineStr">
        <is>
          <t>—</t>
        </is>
      </c>
    </row>
    <row r="103">
      <c r="A103" s="9" t="n">
        <v>100</v>
      </c>
      <c r="B103" s="10">
        <f>DATE(2026,4,16)</f>
        <v/>
      </c>
      <c r="C103" s="9" t="inlineStr">
        <is>
          <t>V034</t>
        </is>
      </c>
      <c r="D103" s="11">
        <f>IFERROR(VLOOKUP(C103,取引先マスタ!A:E,2,FALSE),"")</f>
        <v/>
      </c>
      <c r="E103" s="9" t="inlineStr">
        <is>
          <t>P001</t>
        </is>
      </c>
      <c r="F103" s="11">
        <f>IFERROR(VLOOKUP(E103,案件マスタ!A:D,2,FALSE),"")</f>
        <v/>
      </c>
      <c r="G103" s="11" t="inlineStr">
        <is>
          <t>ノートPC</t>
        </is>
      </c>
      <c r="H103" s="9" t="inlineStr">
        <is>
          <t>台</t>
        </is>
      </c>
      <c r="I103" s="9" t="n">
        <v>2</v>
      </c>
      <c r="J103" s="12" t="n">
        <v>145000</v>
      </c>
      <c r="K103" s="12">
        <f>IF(AND(I103&lt;&gt;"",J103&lt;&gt;""),I103*J103,"")</f>
        <v/>
      </c>
      <c r="L103" s="9" t="inlineStr">
        <is>
          <t>10%</t>
        </is>
      </c>
      <c r="M103" s="10">
        <f>B103+14</f>
        <v/>
      </c>
      <c r="N103" s="11" t="n"/>
      <c r="O103" s="9" t="inlineStr">
        <is>
          <t>検収済</t>
        </is>
      </c>
      <c r="P103" s="11" t="inlineStr">
        <is>
          <t>—</t>
        </is>
      </c>
    </row>
    <row r="104">
      <c r="A104" s="9" t="n">
        <v>101</v>
      </c>
      <c r="B104" s="10">
        <f>DATE(2026,5,17)</f>
        <v/>
      </c>
      <c r="C104" s="9" t="inlineStr">
        <is>
          <t>V034</t>
        </is>
      </c>
      <c r="D104" s="11">
        <f>IFERROR(VLOOKUP(C104,取引先マスタ!A:E,2,FALSE),"")</f>
        <v/>
      </c>
      <c r="E104" s="9" t="inlineStr">
        <is>
          <t>P002</t>
        </is>
      </c>
      <c r="F104" s="11">
        <f>IFERROR(VLOOKUP(E104,案件マスタ!A:D,2,FALSE),"")</f>
        <v/>
      </c>
      <c r="G104" s="11" t="inlineStr">
        <is>
          <t>外付けHDD 4TB</t>
        </is>
      </c>
      <c r="H104" s="9" t="inlineStr">
        <is>
          <t>台</t>
        </is>
      </c>
      <c r="I104" s="9" t="n">
        <v>3</v>
      </c>
      <c r="J104" s="12" t="n">
        <v>9800</v>
      </c>
      <c r="K104" s="12">
        <f>IF(AND(I104&lt;&gt;"",J104&lt;&gt;""),I104*J104,"")</f>
        <v/>
      </c>
      <c r="L104" s="9" t="inlineStr">
        <is>
          <t>10%</t>
        </is>
      </c>
      <c r="M104" s="10">
        <f>B104+14</f>
        <v/>
      </c>
      <c r="N104" s="10">
        <f>B104+18</f>
        <v/>
      </c>
      <c r="O104" s="9" t="inlineStr">
        <is>
          <t>完了</t>
        </is>
      </c>
      <c r="P104" s="11" t="inlineStr">
        <is>
          <t>—</t>
        </is>
      </c>
    </row>
    <row r="105">
      <c r="A105" s="9" t="n">
        <v>102</v>
      </c>
      <c r="B105" s="10">
        <f>DATE(2026,6,18)</f>
        <v/>
      </c>
      <c r="C105" s="9" t="inlineStr">
        <is>
          <t>V034</t>
        </is>
      </c>
      <c r="D105" s="11">
        <f>IFERROR(VLOOKUP(C105,取引先マスタ!A:E,2,FALSE),"")</f>
        <v/>
      </c>
      <c r="E105" s="9" t="inlineStr">
        <is>
          <t>P003</t>
        </is>
      </c>
      <c r="F105" s="11">
        <f>IFERROR(VLOOKUP(E105,案件マスタ!A:D,2,FALSE),"")</f>
        <v/>
      </c>
      <c r="G105" s="11" t="inlineStr">
        <is>
          <t>オフィスデスク</t>
        </is>
      </c>
      <c r="H105" s="9" t="inlineStr">
        <is>
          <t>台</t>
        </is>
      </c>
      <c r="I105" s="9" t="n">
        <v>2</v>
      </c>
      <c r="J105" s="12" t="n">
        <v>38000</v>
      </c>
      <c r="K105" s="12">
        <f>IF(AND(I105&lt;&gt;"",J105&lt;&gt;""),I105*J105,"")</f>
        <v/>
      </c>
      <c r="L105" s="9" t="inlineStr">
        <is>
          <t>10%</t>
        </is>
      </c>
      <c r="M105" s="10">
        <f>B105+14</f>
        <v/>
      </c>
      <c r="N105" s="11" t="n"/>
      <c r="O105" s="9" t="inlineStr">
        <is>
          <t>保留</t>
        </is>
      </c>
      <c r="P105" s="11" t="inlineStr">
        <is>
          <t>—</t>
        </is>
      </c>
    </row>
    <row r="106">
      <c r="A106" s="9" t="n">
        <v>103</v>
      </c>
      <c r="B106" s="10">
        <f>DATE(2026,7,19)</f>
        <v/>
      </c>
      <c r="C106" s="9" t="inlineStr">
        <is>
          <t>V035</t>
        </is>
      </c>
      <c r="D106" s="11">
        <f>IFERROR(VLOOKUP(C106,取引先マスタ!A:E,2,FALSE),"")</f>
        <v/>
      </c>
      <c r="E106" s="9" t="inlineStr">
        <is>
          <t>P001</t>
        </is>
      </c>
      <c r="F106" s="11">
        <f>IFERROR(VLOOKUP(E106,案件マスタ!A:D,2,FALSE),"")</f>
        <v/>
      </c>
      <c r="G106" s="11" t="inlineStr">
        <is>
          <t>外付けHDD 4TB</t>
        </is>
      </c>
      <c r="H106" s="9" t="inlineStr">
        <is>
          <t>台</t>
        </is>
      </c>
      <c r="I106" s="9" t="n">
        <v>3</v>
      </c>
      <c r="J106" s="12" t="n">
        <v>9800</v>
      </c>
      <c r="K106" s="12">
        <f>IF(AND(I106&lt;&gt;"",J106&lt;&gt;""),I106*J106,"")</f>
        <v/>
      </c>
      <c r="L106" s="9" t="inlineStr">
        <is>
          <t>10%</t>
        </is>
      </c>
      <c r="M106" s="10">
        <f>B106+14</f>
        <v/>
      </c>
      <c r="N106" s="11" t="n"/>
      <c r="O106" s="9" t="inlineStr">
        <is>
          <t>完了</t>
        </is>
      </c>
      <c r="P106" s="11" t="inlineStr">
        <is>
          <t>—</t>
        </is>
      </c>
    </row>
    <row r="107">
      <c r="A107" s="9" t="n">
        <v>104</v>
      </c>
      <c r="B107" s="10">
        <f>DATE(2026,8,20)</f>
        <v/>
      </c>
      <c r="C107" s="9" t="inlineStr">
        <is>
          <t>V035</t>
        </is>
      </c>
      <c r="D107" s="11">
        <f>IFERROR(VLOOKUP(C107,取引先マスタ!A:E,2,FALSE),"")</f>
        <v/>
      </c>
      <c r="E107" s="9" t="inlineStr">
        <is>
          <t>P002</t>
        </is>
      </c>
      <c r="F107" s="11">
        <f>IFERROR(VLOOKUP(E107,案件マスタ!A:D,2,FALSE),"")</f>
        <v/>
      </c>
      <c r="G107" s="11" t="inlineStr">
        <is>
          <t>オフィスデスク</t>
        </is>
      </c>
      <c r="H107" s="9" t="inlineStr">
        <is>
          <t>台</t>
        </is>
      </c>
      <c r="I107" s="9" t="n">
        <v>2</v>
      </c>
      <c r="J107" s="12" t="n">
        <v>38000</v>
      </c>
      <c r="K107" s="12">
        <f>IF(AND(I107&lt;&gt;"",J107&lt;&gt;""),I107*J107,"")</f>
        <v/>
      </c>
      <c r="L107" s="9" t="inlineStr">
        <is>
          <t>10%</t>
        </is>
      </c>
      <c r="M107" s="10">
        <f>B107+14</f>
        <v/>
      </c>
      <c r="N107" s="11" t="n"/>
      <c r="O107" s="9" t="inlineStr">
        <is>
          <t>保留</t>
        </is>
      </c>
      <c r="P107" s="11" t="inlineStr">
        <is>
          <t>—</t>
        </is>
      </c>
    </row>
    <row r="108">
      <c r="A108" s="9" t="n">
        <v>105</v>
      </c>
      <c r="B108" s="10">
        <f>DATE(2026,9,21)</f>
        <v/>
      </c>
      <c r="C108" s="9" t="inlineStr">
        <is>
          <t>V035</t>
        </is>
      </c>
      <c r="D108" s="11">
        <f>IFERROR(VLOOKUP(C108,取引先マスタ!A:E,2,FALSE),"")</f>
        <v/>
      </c>
      <c r="E108" s="9" t="inlineStr">
        <is>
          <t>P003</t>
        </is>
      </c>
      <c r="F108" s="11">
        <f>IFERROR(VLOOKUP(E108,案件マスタ!A:D,2,FALSE),"")</f>
        <v/>
      </c>
      <c r="G108" s="11" t="inlineStr">
        <is>
          <t>ホワイトボード</t>
        </is>
      </c>
      <c r="H108" s="9" t="inlineStr">
        <is>
          <t>台</t>
        </is>
      </c>
      <c r="I108" s="9" t="n">
        <v>1</v>
      </c>
      <c r="J108" s="12" t="n">
        <v>22000</v>
      </c>
      <c r="K108" s="12">
        <f>IF(AND(I108&lt;&gt;"",J108&lt;&gt;""),I108*J108,"")</f>
        <v/>
      </c>
      <c r="L108" s="9" t="inlineStr">
        <is>
          <t>10%</t>
        </is>
      </c>
      <c r="M108" s="10">
        <f>B108+14</f>
        <v/>
      </c>
      <c r="N108" s="10">
        <f>B108+18</f>
        <v/>
      </c>
      <c r="O108" s="9" t="inlineStr">
        <is>
          <t>未発注</t>
        </is>
      </c>
      <c r="P108" s="11" t="inlineStr">
        <is>
          <t>—</t>
        </is>
      </c>
    </row>
    <row r="109">
      <c r="A109" s="9" t="n">
        <v>106</v>
      </c>
      <c r="B109" s="10">
        <f>DATE(2026,10,22)</f>
        <v/>
      </c>
      <c r="C109" s="9" t="inlineStr">
        <is>
          <t>V036</t>
        </is>
      </c>
      <c r="D109" s="11">
        <f>IFERROR(VLOOKUP(C109,取引先マスタ!A:E,2,FALSE),"")</f>
        <v/>
      </c>
      <c r="E109" s="9" t="inlineStr">
        <is>
          <t>P001</t>
        </is>
      </c>
      <c r="F109" s="11">
        <f>IFERROR(VLOOKUP(E109,案件マスタ!A:D,2,FALSE),"")</f>
        <v/>
      </c>
      <c r="G109" s="11" t="inlineStr">
        <is>
          <t>オフィスデスク</t>
        </is>
      </c>
      <c r="H109" s="9" t="inlineStr">
        <is>
          <t>台</t>
        </is>
      </c>
      <c r="I109" s="9" t="n">
        <v>2</v>
      </c>
      <c r="J109" s="12" t="n">
        <v>38000</v>
      </c>
      <c r="K109" s="12">
        <f>IF(AND(I109&lt;&gt;"",J109&lt;&gt;""),I109*J109,"")</f>
        <v/>
      </c>
      <c r="L109" s="9" t="inlineStr">
        <is>
          <t>10%</t>
        </is>
      </c>
      <c r="M109" s="10">
        <f>B109+14</f>
        <v/>
      </c>
      <c r="N109" s="11" t="n"/>
      <c r="O109" s="9" t="inlineStr">
        <is>
          <t>保留</t>
        </is>
      </c>
      <c r="P109" s="11" t="inlineStr">
        <is>
          <t>—</t>
        </is>
      </c>
    </row>
    <row r="110">
      <c r="A110" s="9" t="n">
        <v>107</v>
      </c>
      <c r="B110" s="10">
        <f>DATE(2026,11,23)</f>
        <v/>
      </c>
      <c r="C110" s="9" t="inlineStr">
        <is>
          <t>V036</t>
        </is>
      </c>
      <c r="D110" s="11">
        <f>IFERROR(VLOOKUP(C110,取引先マスタ!A:E,2,FALSE),"")</f>
        <v/>
      </c>
      <c r="E110" s="9" t="inlineStr">
        <is>
          <t>P002</t>
        </is>
      </c>
      <c r="F110" s="11">
        <f>IFERROR(VLOOKUP(E110,案件マスタ!A:D,2,FALSE),"")</f>
        <v/>
      </c>
      <c r="G110" s="11" t="inlineStr">
        <is>
          <t>ホワイトボード</t>
        </is>
      </c>
      <c r="H110" s="9" t="inlineStr">
        <is>
          <t>台</t>
        </is>
      </c>
      <c r="I110" s="9" t="n">
        <v>1</v>
      </c>
      <c r="J110" s="12" t="n">
        <v>22000</v>
      </c>
      <c r="K110" s="12">
        <f>IF(AND(I110&lt;&gt;"",J110&lt;&gt;""),I110*J110,"")</f>
        <v/>
      </c>
      <c r="L110" s="9" t="inlineStr">
        <is>
          <t>10%</t>
        </is>
      </c>
      <c r="M110" s="10">
        <f>B110+14</f>
        <v/>
      </c>
      <c r="N110" s="11" t="n"/>
      <c r="O110" s="9" t="inlineStr">
        <is>
          <t>未発注</t>
        </is>
      </c>
      <c r="P110" s="11" t="inlineStr">
        <is>
          <t>—</t>
        </is>
      </c>
    </row>
    <row r="111">
      <c r="A111" s="9" t="n">
        <v>108</v>
      </c>
      <c r="B111" s="10">
        <f>DATE(2026,12,24)</f>
        <v/>
      </c>
      <c r="C111" s="9" t="inlineStr">
        <is>
          <t>V036</t>
        </is>
      </c>
      <c r="D111" s="11">
        <f>IFERROR(VLOOKUP(C111,取引先マスタ!A:E,2,FALSE),"")</f>
        <v/>
      </c>
      <c r="E111" s="9" t="inlineStr">
        <is>
          <t>P003</t>
        </is>
      </c>
      <c r="F111" s="11">
        <f>IFERROR(VLOOKUP(E111,案件マスタ!A:D,2,FALSE),"")</f>
        <v/>
      </c>
      <c r="G111" s="11" t="inlineStr">
        <is>
          <t>プロジェクター</t>
        </is>
      </c>
      <c r="H111" s="9" t="inlineStr">
        <is>
          <t>台</t>
        </is>
      </c>
      <c r="I111" s="9" t="n">
        <v>1</v>
      </c>
      <c r="J111" s="12" t="n">
        <v>65000</v>
      </c>
      <c r="K111" s="12">
        <f>IF(AND(I111&lt;&gt;"",J111&lt;&gt;""),I111*J111,"")</f>
        <v/>
      </c>
      <c r="L111" s="9" t="inlineStr">
        <is>
          <t>10%</t>
        </is>
      </c>
      <c r="M111" s="10">
        <f>B111+14</f>
        <v/>
      </c>
      <c r="N111" s="11" t="n"/>
      <c r="O111" s="9" t="inlineStr">
        <is>
          <t>発注済</t>
        </is>
      </c>
      <c r="P111" s="11" t="inlineStr">
        <is>
          <t>—</t>
        </is>
      </c>
    </row>
    <row r="112">
      <c r="A112" s="9" t="n">
        <v>109</v>
      </c>
      <c r="B112" s="10">
        <f>DATE(2026,1,25)</f>
        <v/>
      </c>
      <c r="C112" s="9" t="inlineStr">
        <is>
          <t>V037</t>
        </is>
      </c>
      <c r="D112" s="11">
        <f>IFERROR(VLOOKUP(C112,取引先マスタ!A:E,2,FALSE),"")</f>
        <v/>
      </c>
      <c r="E112" s="9" t="inlineStr">
        <is>
          <t>P001</t>
        </is>
      </c>
      <c r="F112" s="11">
        <f>IFERROR(VLOOKUP(E112,案件マスタ!A:D,2,FALSE),"")</f>
        <v/>
      </c>
      <c r="G112" s="11" t="inlineStr">
        <is>
          <t>ホワイトボード</t>
        </is>
      </c>
      <c r="H112" s="9" t="inlineStr">
        <is>
          <t>台</t>
        </is>
      </c>
      <c r="I112" s="9" t="n">
        <v>1</v>
      </c>
      <c r="J112" s="12" t="n">
        <v>22000</v>
      </c>
      <c r="K112" s="12">
        <f>IF(AND(I112&lt;&gt;"",J112&lt;&gt;""),I112*J112,"")</f>
        <v/>
      </c>
      <c r="L112" s="9" t="inlineStr">
        <is>
          <t>10%</t>
        </is>
      </c>
      <c r="M112" s="10">
        <f>B112+14</f>
        <v/>
      </c>
      <c r="N112" s="10">
        <f>B112+18</f>
        <v/>
      </c>
      <c r="O112" s="9" t="inlineStr">
        <is>
          <t>未発注</t>
        </is>
      </c>
      <c r="P112" s="11" t="inlineStr">
        <is>
          <t>—</t>
        </is>
      </c>
    </row>
    <row r="113">
      <c r="A113" s="9" t="n">
        <v>110</v>
      </c>
      <c r="B113" s="10">
        <f>DATE(2026,2,26)</f>
        <v/>
      </c>
      <c r="C113" s="9" t="inlineStr">
        <is>
          <t>V037</t>
        </is>
      </c>
      <c r="D113" s="11">
        <f>IFERROR(VLOOKUP(C113,取引先マスタ!A:E,2,FALSE),"")</f>
        <v/>
      </c>
      <c r="E113" s="9" t="inlineStr">
        <is>
          <t>P002</t>
        </is>
      </c>
      <c r="F113" s="11">
        <f>IFERROR(VLOOKUP(E113,案件マスタ!A:D,2,FALSE),"")</f>
        <v/>
      </c>
      <c r="G113" s="11" t="inlineStr">
        <is>
          <t>プロジェクター</t>
        </is>
      </c>
      <c r="H113" s="9" t="inlineStr">
        <is>
          <t>台</t>
        </is>
      </c>
      <c r="I113" s="9" t="n">
        <v>1</v>
      </c>
      <c r="J113" s="12" t="n">
        <v>65000</v>
      </c>
      <c r="K113" s="12">
        <f>IF(AND(I113&lt;&gt;"",J113&lt;&gt;""),I113*J113,"")</f>
        <v/>
      </c>
      <c r="L113" s="9" t="inlineStr">
        <is>
          <t>10%</t>
        </is>
      </c>
      <c r="M113" s="10">
        <f>B113+14</f>
        <v/>
      </c>
      <c r="N113" s="11" t="n"/>
      <c r="O113" s="9" t="inlineStr">
        <is>
          <t>発注済</t>
        </is>
      </c>
      <c r="P113" s="11" t="inlineStr">
        <is>
          <t>—</t>
        </is>
      </c>
    </row>
    <row r="114">
      <c r="A114" s="9" t="n">
        <v>111</v>
      </c>
      <c r="B114" s="10">
        <f>DATE(2026,3,27)</f>
        <v/>
      </c>
      <c r="C114" s="9" t="inlineStr">
        <is>
          <t>V037</t>
        </is>
      </c>
      <c r="D114" s="11">
        <f>IFERROR(VLOOKUP(C114,取引先マスタ!A:E,2,FALSE),"")</f>
        <v/>
      </c>
      <c r="E114" s="9" t="inlineStr">
        <is>
          <t>P003</t>
        </is>
      </c>
      <c r="F114" s="11">
        <f>IFERROR(VLOOKUP(E114,案件マスタ!A:D,2,FALSE),"")</f>
        <v/>
      </c>
      <c r="G114" s="11" t="inlineStr">
        <is>
          <t>複合機トナー</t>
        </is>
      </c>
      <c r="H114" s="9" t="inlineStr">
        <is>
          <t>本</t>
        </is>
      </c>
      <c r="I114" s="9" t="n">
        <v>4</v>
      </c>
      <c r="J114" s="12" t="n">
        <v>12500</v>
      </c>
      <c r="K114" s="12">
        <f>IF(AND(I114&lt;&gt;"",J114&lt;&gt;""),I114*J114,"")</f>
        <v/>
      </c>
      <c r="L114" s="9" t="inlineStr">
        <is>
          <t>10%</t>
        </is>
      </c>
      <c r="M114" s="10">
        <f>B114+14</f>
        <v/>
      </c>
      <c r="N114" s="11" t="n"/>
      <c r="O114" s="9" t="inlineStr">
        <is>
          <t>納品待ち</t>
        </is>
      </c>
      <c r="P114" s="11" t="inlineStr">
        <is>
          <t>—</t>
        </is>
      </c>
    </row>
    <row r="115">
      <c r="A115" s="9" t="n">
        <v>112</v>
      </c>
      <c r="B115" s="10">
        <f>DATE(2026,4,28)</f>
        <v/>
      </c>
      <c r="C115" s="9" t="inlineStr">
        <is>
          <t>V038</t>
        </is>
      </c>
      <c r="D115" s="11">
        <f>IFERROR(VLOOKUP(C115,取引先マスタ!A:E,2,FALSE),"")</f>
        <v/>
      </c>
      <c r="E115" s="9" t="inlineStr">
        <is>
          <t>P001</t>
        </is>
      </c>
      <c r="F115" s="11">
        <f>IFERROR(VLOOKUP(E115,案件マスタ!A:D,2,FALSE),"")</f>
        <v/>
      </c>
      <c r="G115" s="11" t="inlineStr">
        <is>
          <t>プロジェクター</t>
        </is>
      </c>
      <c r="H115" s="9" t="inlineStr">
        <is>
          <t>台</t>
        </is>
      </c>
      <c r="I115" s="9" t="n">
        <v>1</v>
      </c>
      <c r="J115" s="12" t="n">
        <v>65000</v>
      </c>
      <c r="K115" s="12">
        <f>IF(AND(I115&lt;&gt;"",J115&lt;&gt;""),I115*J115,"")</f>
        <v/>
      </c>
      <c r="L115" s="9" t="inlineStr">
        <is>
          <t>10%</t>
        </is>
      </c>
      <c r="M115" s="10">
        <f>B115+14</f>
        <v/>
      </c>
      <c r="N115" s="11" t="n"/>
      <c r="O115" s="9" t="inlineStr">
        <is>
          <t>発注済</t>
        </is>
      </c>
      <c r="P115" s="11" t="inlineStr">
        <is>
          <t>—</t>
        </is>
      </c>
    </row>
    <row r="116">
      <c r="A116" s="9" t="n">
        <v>113</v>
      </c>
      <c r="B116" s="10">
        <f>DATE(2026,5,1)</f>
        <v/>
      </c>
      <c r="C116" s="9" t="inlineStr">
        <is>
          <t>V038</t>
        </is>
      </c>
      <c r="D116" s="11">
        <f>IFERROR(VLOOKUP(C116,取引先マスタ!A:E,2,FALSE),"")</f>
        <v/>
      </c>
      <c r="E116" s="9" t="inlineStr">
        <is>
          <t>P002</t>
        </is>
      </c>
      <c r="F116" s="11">
        <f>IFERROR(VLOOKUP(E116,案件マスタ!A:D,2,FALSE),"")</f>
        <v/>
      </c>
      <c r="G116" s="11" t="inlineStr">
        <is>
          <t>複合機トナー</t>
        </is>
      </c>
      <c r="H116" s="9" t="inlineStr">
        <is>
          <t>本</t>
        </is>
      </c>
      <c r="I116" s="9" t="n">
        <v>4</v>
      </c>
      <c r="J116" s="12" t="n">
        <v>12500</v>
      </c>
      <c r="K116" s="12">
        <f>IF(AND(I116&lt;&gt;"",J116&lt;&gt;""),I116*J116,"")</f>
        <v/>
      </c>
      <c r="L116" s="9" t="inlineStr">
        <is>
          <t>10%</t>
        </is>
      </c>
      <c r="M116" s="10">
        <f>B116+14</f>
        <v/>
      </c>
      <c r="N116" s="10">
        <f>B116+18</f>
        <v/>
      </c>
      <c r="O116" s="9" t="inlineStr">
        <is>
          <t>納品待ち</t>
        </is>
      </c>
      <c r="P116" s="11" t="inlineStr">
        <is>
          <t>—</t>
        </is>
      </c>
    </row>
    <row r="117">
      <c r="A117" s="9" t="n">
        <v>114</v>
      </c>
      <c r="B117" s="10">
        <f>DATE(2026,6,2)</f>
        <v/>
      </c>
      <c r="C117" s="9" t="inlineStr">
        <is>
          <t>V038</t>
        </is>
      </c>
      <c r="D117" s="11">
        <f>IFERROR(VLOOKUP(C117,取引先マスタ!A:E,2,FALSE),"")</f>
        <v/>
      </c>
      <c r="E117" s="9" t="inlineStr">
        <is>
          <t>P003</t>
        </is>
      </c>
      <c r="F117" s="11">
        <f>IFERROR(VLOOKUP(E117,案件マスタ!A:D,2,FALSE),"")</f>
        <v/>
      </c>
      <c r="G117" s="11" t="inlineStr">
        <is>
          <t>応接ソファ</t>
        </is>
      </c>
      <c r="H117" s="9" t="inlineStr">
        <is>
          <t>セット</t>
        </is>
      </c>
      <c r="I117" s="9" t="n">
        <v>1</v>
      </c>
      <c r="J117" s="12" t="n">
        <v>158000</v>
      </c>
      <c r="K117" s="12">
        <f>IF(AND(I117&lt;&gt;"",J117&lt;&gt;""),I117*J117,"")</f>
        <v/>
      </c>
      <c r="L117" s="9" t="inlineStr">
        <is>
          <t>10%</t>
        </is>
      </c>
      <c r="M117" s="10">
        <f>B117+14</f>
        <v/>
      </c>
      <c r="N117" s="11" t="n"/>
      <c r="O117" s="9" t="inlineStr">
        <is>
          <t>検収済</t>
        </is>
      </c>
      <c r="P117" s="11" t="inlineStr">
        <is>
          <t>—</t>
        </is>
      </c>
    </row>
    <row r="118">
      <c r="A118" s="9" t="n">
        <v>115</v>
      </c>
      <c r="B118" s="10">
        <f>DATE(2026,7,3)</f>
        <v/>
      </c>
      <c r="C118" s="9" t="inlineStr">
        <is>
          <t>V039</t>
        </is>
      </c>
      <c r="D118" s="11">
        <f>IFERROR(VLOOKUP(C118,取引先マスタ!A:E,2,FALSE),"")</f>
        <v/>
      </c>
      <c r="E118" s="9" t="inlineStr">
        <is>
          <t>P001</t>
        </is>
      </c>
      <c r="F118" s="11">
        <f>IFERROR(VLOOKUP(E118,案件マスタ!A:D,2,FALSE),"")</f>
        <v/>
      </c>
      <c r="G118" s="11" t="inlineStr">
        <is>
          <t>複合機トナー</t>
        </is>
      </c>
      <c r="H118" s="9" t="inlineStr">
        <is>
          <t>本</t>
        </is>
      </c>
      <c r="I118" s="9" t="n">
        <v>4</v>
      </c>
      <c r="J118" s="12" t="n">
        <v>12500</v>
      </c>
      <c r="K118" s="12">
        <f>IF(AND(I118&lt;&gt;"",J118&lt;&gt;""),I118*J118,"")</f>
        <v/>
      </c>
      <c r="L118" s="9" t="inlineStr">
        <is>
          <t>10%</t>
        </is>
      </c>
      <c r="M118" s="10">
        <f>B118+14</f>
        <v/>
      </c>
      <c r="N118" s="11" t="n"/>
      <c r="O118" s="9" t="inlineStr">
        <is>
          <t>納品待ち</t>
        </is>
      </c>
      <c r="P118" s="11" t="inlineStr">
        <is>
          <t>—</t>
        </is>
      </c>
    </row>
    <row r="119">
      <c r="A119" s="9" t="n">
        <v>116</v>
      </c>
      <c r="B119" s="10">
        <f>DATE(2026,8,4)</f>
        <v/>
      </c>
      <c r="C119" s="9" t="inlineStr">
        <is>
          <t>V039</t>
        </is>
      </c>
      <c r="D119" s="11">
        <f>IFERROR(VLOOKUP(C119,取引先マスタ!A:E,2,FALSE),"")</f>
        <v/>
      </c>
      <c r="E119" s="9" t="inlineStr">
        <is>
          <t>P002</t>
        </is>
      </c>
      <c r="F119" s="11">
        <f>IFERROR(VLOOKUP(E119,案件マスタ!A:D,2,FALSE),"")</f>
        <v/>
      </c>
      <c r="G119" s="11" t="inlineStr">
        <is>
          <t>応接ソファ</t>
        </is>
      </c>
      <c r="H119" s="9" t="inlineStr">
        <is>
          <t>セット</t>
        </is>
      </c>
      <c r="I119" s="9" t="n">
        <v>1</v>
      </c>
      <c r="J119" s="12" t="n">
        <v>158000</v>
      </c>
      <c r="K119" s="12">
        <f>IF(AND(I119&lt;&gt;"",J119&lt;&gt;""),I119*J119,"")</f>
        <v/>
      </c>
      <c r="L119" s="9" t="inlineStr">
        <is>
          <t>10%</t>
        </is>
      </c>
      <c r="M119" s="10">
        <f>B119+14</f>
        <v/>
      </c>
      <c r="N119" s="11" t="n"/>
      <c r="O119" s="9" t="inlineStr">
        <is>
          <t>検収済</t>
        </is>
      </c>
      <c r="P119" s="11" t="inlineStr">
        <is>
          <t>—</t>
        </is>
      </c>
    </row>
    <row r="120">
      <c r="A120" s="9" t="n">
        <v>117</v>
      </c>
      <c r="B120" s="10">
        <f>DATE(2026,9,5)</f>
        <v/>
      </c>
      <c r="C120" s="9" t="inlineStr">
        <is>
          <t>V039</t>
        </is>
      </c>
      <c r="D120" s="11">
        <f>IFERROR(VLOOKUP(C120,取引先マスタ!A:E,2,FALSE),"")</f>
        <v/>
      </c>
      <c r="E120" s="9" t="inlineStr">
        <is>
          <t>P003</t>
        </is>
      </c>
      <c r="F120" s="11">
        <f>IFERROR(VLOOKUP(E120,案件マスタ!A:D,2,FALSE),"")</f>
        <v/>
      </c>
      <c r="G120" s="11" t="inlineStr">
        <is>
          <t>文具一式</t>
        </is>
      </c>
      <c r="H120" s="9" t="inlineStr">
        <is>
          <t>式</t>
        </is>
      </c>
      <c r="I120" s="9" t="n">
        <v>1</v>
      </c>
      <c r="J120" s="12" t="n">
        <v>12000</v>
      </c>
      <c r="K120" s="12">
        <f>IF(AND(I120&lt;&gt;"",J120&lt;&gt;""),I120*J120,"")</f>
        <v/>
      </c>
      <c r="L120" s="9" t="inlineStr">
        <is>
          <t>10%</t>
        </is>
      </c>
      <c r="M120" s="10">
        <f>B120+14</f>
        <v/>
      </c>
      <c r="N120" s="10">
        <f>B120+18</f>
        <v/>
      </c>
      <c r="O120" s="9" t="inlineStr">
        <is>
          <t>完了</t>
        </is>
      </c>
      <c r="P120" s="11" t="inlineStr">
        <is>
          <t>—</t>
        </is>
      </c>
    </row>
    <row r="121">
      <c r="A121" s="9" t="n">
        <v>118</v>
      </c>
      <c r="B121" s="10">
        <f>DATE(2026,10,6)</f>
        <v/>
      </c>
      <c r="C121" s="9" t="inlineStr">
        <is>
          <t>V040</t>
        </is>
      </c>
      <c r="D121" s="11">
        <f>IFERROR(VLOOKUP(C121,取引先マスタ!A:E,2,FALSE),"")</f>
        <v/>
      </c>
      <c r="E121" s="9" t="inlineStr">
        <is>
          <t>P001</t>
        </is>
      </c>
      <c r="F121" s="11">
        <f>IFERROR(VLOOKUP(E121,案件マスタ!A:D,2,FALSE),"")</f>
        <v/>
      </c>
      <c r="G121" s="11" t="inlineStr">
        <is>
          <t>応接ソファ</t>
        </is>
      </c>
      <c r="H121" s="9" t="inlineStr">
        <is>
          <t>セット</t>
        </is>
      </c>
      <c r="I121" s="9" t="n">
        <v>1</v>
      </c>
      <c r="J121" s="12" t="n">
        <v>158000</v>
      </c>
      <c r="K121" s="12">
        <f>IF(AND(I121&lt;&gt;"",J121&lt;&gt;""),I121*J121,"")</f>
        <v/>
      </c>
      <c r="L121" s="9" t="inlineStr">
        <is>
          <t>10%</t>
        </is>
      </c>
      <c r="M121" s="10">
        <f>B121+14</f>
        <v/>
      </c>
      <c r="N121" s="11" t="n"/>
      <c r="O121" s="9" t="inlineStr">
        <is>
          <t>検収済</t>
        </is>
      </c>
      <c r="P121" s="11" t="inlineStr">
        <is>
          <t>—</t>
        </is>
      </c>
    </row>
    <row r="122">
      <c r="A122" s="9" t="n">
        <v>119</v>
      </c>
      <c r="B122" s="10">
        <f>DATE(2026,11,7)</f>
        <v/>
      </c>
      <c r="C122" s="9" t="inlineStr">
        <is>
          <t>V040</t>
        </is>
      </c>
      <c r="D122" s="11">
        <f>IFERROR(VLOOKUP(C122,取引先マスタ!A:E,2,FALSE),"")</f>
        <v/>
      </c>
      <c r="E122" s="9" t="inlineStr">
        <is>
          <t>P002</t>
        </is>
      </c>
      <c r="F122" s="11">
        <f>IFERROR(VLOOKUP(E122,案件マスタ!A:D,2,FALSE),"")</f>
        <v/>
      </c>
      <c r="G122" s="11" t="inlineStr">
        <is>
          <t>文具一式</t>
        </is>
      </c>
      <c r="H122" s="9" t="inlineStr">
        <is>
          <t>式</t>
        </is>
      </c>
      <c r="I122" s="9" t="n">
        <v>1</v>
      </c>
      <c r="J122" s="12" t="n">
        <v>12000</v>
      </c>
      <c r="K122" s="12">
        <f>IF(AND(I122&lt;&gt;"",J122&lt;&gt;""),I122*J122,"")</f>
        <v/>
      </c>
      <c r="L122" s="9" t="inlineStr">
        <is>
          <t>10%</t>
        </is>
      </c>
      <c r="M122" s="10">
        <f>B122+14</f>
        <v/>
      </c>
      <c r="N122" s="11" t="n"/>
      <c r="O122" s="9" t="inlineStr">
        <is>
          <t>完了</t>
        </is>
      </c>
      <c r="P122" s="11" t="inlineStr">
        <is>
          <t>—</t>
        </is>
      </c>
    </row>
    <row r="123">
      <c r="A123" s="9" t="n">
        <v>120</v>
      </c>
      <c r="B123" s="10">
        <f>DATE(2026,12,8)</f>
        <v/>
      </c>
      <c r="C123" s="9" t="inlineStr">
        <is>
          <t>V040</t>
        </is>
      </c>
      <c r="D123" s="11">
        <f>IFERROR(VLOOKUP(C123,取引先マスタ!A:E,2,FALSE),"")</f>
        <v/>
      </c>
      <c r="E123" s="9" t="inlineStr">
        <is>
          <t>P003</t>
        </is>
      </c>
      <c r="F123" s="11">
        <f>IFERROR(VLOOKUP(E123,案件マスタ!A:D,2,FALSE),"")</f>
        <v/>
      </c>
      <c r="G123" s="11" t="inlineStr">
        <is>
          <t>オフィスチェア</t>
        </is>
      </c>
      <c r="H123" s="9" t="inlineStr">
        <is>
          <t>脚</t>
        </is>
      </c>
      <c r="I123" s="9" t="n">
        <v>4</v>
      </c>
      <c r="J123" s="12" t="n">
        <v>28000</v>
      </c>
      <c r="K123" s="12">
        <f>IF(AND(I123&lt;&gt;"",J123&lt;&gt;""),I123*J123,"")</f>
        <v/>
      </c>
      <c r="L123" s="9" t="inlineStr">
        <is>
          <t>10%</t>
        </is>
      </c>
      <c r="M123" s="10">
        <f>B123+14</f>
        <v/>
      </c>
      <c r="N123" s="11" t="n"/>
      <c r="O123" s="9" t="inlineStr">
        <is>
          <t>保留</t>
        </is>
      </c>
      <c r="P123" s="11" t="inlineStr">
        <is>
          <t>—</t>
        </is>
      </c>
    </row>
    <row r="124">
      <c r="A124" s="9" t="n">
        <v>121</v>
      </c>
      <c r="B124" s="10">
        <f>DATE(2026,1,9)</f>
        <v/>
      </c>
      <c r="C124" s="9" t="inlineStr">
        <is>
          <t>V041</t>
        </is>
      </c>
      <c r="D124" s="11">
        <f>IFERROR(VLOOKUP(C124,取引先マスタ!A:E,2,FALSE),"")</f>
        <v/>
      </c>
      <c r="E124" s="9" t="inlineStr">
        <is>
          <t>P001</t>
        </is>
      </c>
      <c r="F124" s="11">
        <f>IFERROR(VLOOKUP(E124,案件マスタ!A:D,2,FALSE),"")</f>
        <v/>
      </c>
      <c r="G124" s="11" t="inlineStr">
        <is>
          <t>文具一式</t>
        </is>
      </c>
      <c r="H124" s="9" t="inlineStr">
        <is>
          <t>式</t>
        </is>
      </c>
      <c r="I124" s="9" t="n">
        <v>1</v>
      </c>
      <c r="J124" s="12" t="n">
        <v>12000</v>
      </c>
      <c r="K124" s="12">
        <f>IF(AND(I124&lt;&gt;"",J124&lt;&gt;""),I124*J124,"")</f>
        <v/>
      </c>
      <c r="L124" s="9" t="inlineStr">
        <is>
          <t>10%</t>
        </is>
      </c>
      <c r="M124" s="10">
        <f>B124+14</f>
        <v/>
      </c>
      <c r="N124" s="10">
        <f>B124+18</f>
        <v/>
      </c>
      <c r="O124" s="9" t="inlineStr">
        <is>
          <t>完了</t>
        </is>
      </c>
      <c r="P124" s="11" t="inlineStr">
        <is>
          <t>—</t>
        </is>
      </c>
    </row>
    <row r="125">
      <c r="A125" s="9" t="n">
        <v>122</v>
      </c>
      <c r="B125" s="10">
        <f>DATE(2026,2,10)</f>
        <v/>
      </c>
      <c r="C125" s="9" t="inlineStr">
        <is>
          <t>V041</t>
        </is>
      </c>
      <c r="D125" s="11">
        <f>IFERROR(VLOOKUP(C125,取引先マスタ!A:E,2,FALSE),"")</f>
        <v/>
      </c>
      <c r="E125" s="9" t="inlineStr">
        <is>
          <t>P002</t>
        </is>
      </c>
      <c r="F125" s="11">
        <f>IFERROR(VLOOKUP(E125,案件マスタ!A:D,2,FALSE),"")</f>
        <v/>
      </c>
      <c r="G125" s="11" t="inlineStr">
        <is>
          <t>オフィスチェア</t>
        </is>
      </c>
      <c r="H125" s="9" t="inlineStr">
        <is>
          <t>脚</t>
        </is>
      </c>
      <c r="I125" s="9" t="n">
        <v>4</v>
      </c>
      <c r="J125" s="12" t="n">
        <v>28000</v>
      </c>
      <c r="K125" s="12">
        <f>IF(AND(I125&lt;&gt;"",J125&lt;&gt;""),I125*J125,"")</f>
        <v/>
      </c>
      <c r="L125" s="9" t="inlineStr">
        <is>
          <t>10%</t>
        </is>
      </c>
      <c r="M125" s="10">
        <f>B125+14</f>
        <v/>
      </c>
      <c r="N125" s="11" t="n"/>
      <c r="O125" s="9" t="inlineStr">
        <is>
          <t>保留</t>
        </is>
      </c>
      <c r="P125" s="11" t="inlineStr">
        <is>
          <t>—</t>
        </is>
      </c>
    </row>
    <row r="126">
      <c r="A126" s="9" t="n">
        <v>123</v>
      </c>
      <c r="B126" s="10">
        <f>DATE(2026,3,11)</f>
        <v/>
      </c>
      <c r="C126" s="9" t="inlineStr">
        <is>
          <t>V041</t>
        </is>
      </c>
      <c r="D126" s="11">
        <f>IFERROR(VLOOKUP(C126,取引先マスタ!A:E,2,FALSE),"")</f>
        <v/>
      </c>
      <c r="E126" s="9" t="inlineStr">
        <is>
          <t>P003</t>
        </is>
      </c>
      <c r="F126" s="11">
        <f>IFERROR(VLOOKUP(E126,案件マスタ!A:D,2,FALSE),"")</f>
        <v/>
      </c>
      <c r="G126" s="11" t="inlineStr">
        <is>
          <t>プリンター用紙</t>
        </is>
      </c>
      <c r="H126" s="9" t="inlineStr">
        <is>
          <t>箱</t>
        </is>
      </c>
      <c r="I126" s="9" t="n">
        <v>10</v>
      </c>
      <c r="J126" s="12" t="n">
        <v>3200</v>
      </c>
      <c r="K126" s="12">
        <f>IF(AND(I126&lt;&gt;"",J126&lt;&gt;""),I126*J126,"")</f>
        <v/>
      </c>
      <c r="L126" s="9" t="inlineStr">
        <is>
          <t>10%</t>
        </is>
      </c>
      <c r="M126" s="10">
        <f>B126+14</f>
        <v/>
      </c>
      <c r="N126" s="11" t="n"/>
      <c r="O126" s="9" t="inlineStr">
        <is>
          <t>未発注</t>
        </is>
      </c>
      <c r="P126" s="11" t="inlineStr">
        <is>
          <t>—</t>
        </is>
      </c>
    </row>
    <row r="127">
      <c r="A127" s="9" t="n">
        <v>124</v>
      </c>
      <c r="B127" s="10">
        <f>DATE(2026,4,12)</f>
        <v/>
      </c>
      <c r="C127" s="9" t="inlineStr">
        <is>
          <t>V042</t>
        </is>
      </c>
      <c r="D127" s="11">
        <f>IFERROR(VLOOKUP(C127,取引先マスタ!A:E,2,FALSE),"")</f>
        <v/>
      </c>
      <c r="E127" s="9" t="inlineStr">
        <is>
          <t>P001</t>
        </is>
      </c>
      <c r="F127" s="11">
        <f>IFERROR(VLOOKUP(E127,案件マスタ!A:D,2,FALSE),"")</f>
        <v/>
      </c>
      <c r="G127" s="11" t="inlineStr">
        <is>
          <t>オフィスチェア</t>
        </is>
      </c>
      <c r="H127" s="9" t="inlineStr">
        <is>
          <t>脚</t>
        </is>
      </c>
      <c r="I127" s="9" t="n">
        <v>4</v>
      </c>
      <c r="J127" s="12" t="n">
        <v>28000</v>
      </c>
      <c r="K127" s="12">
        <f>IF(AND(I127&lt;&gt;"",J127&lt;&gt;""),I127*J127,"")</f>
        <v/>
      </c>
      <c r="L127" s="9" t="inlineStr">
        <is>
          <t>10%</t>
        </is>
      </c>
      <c r="M127" s="10">
        <f>B127+14</f>
        <v/>
      </c>
      <c r="N127" s="11" t="n"/>
      <c r="O127" s="9" t="inlineStr">
        <is>
          <t>保留</t>
        </is>
      </c>
      <c r="P127" s="11" t="inlineStr">
        <is>
          <t>—</t>
        </is>
      </c>
    </row>
    <row r="128">
      <c r="A128" s="9" t="n">
        <v>125</v>
      </c>
      <c r="B128" s="10">
        <f>DATE(2026,5,13)</f>
        <v/>
      </c>
      <c r="C128" s="9" t="inlineStr">
        <is>
          <t>V042</t>
        </is>
      </c>
      <c r="D128" s="11">
        <f>IFERROR(VLOOKUP(C128,取引先マスタ!A:E,2,FALSE),"")</f>
        <v/>
      </c>
      <c r="E128" s="9" t="inlineStr">
        <is>
          <t>P002</t>
        </is>
      </c>
      <c r="F128" s="11">
        <f>IFERROR(VLOOKUP(E128,案件マスタ!A:D,2,FALSE),"")</f>
        <v/>
      </c>
      <c r="G128" s="11" t="inlineStr">
        <is>
          <t>プリンター用紙</t>
        </is>
      </c>
      <c r="H128" s="9" t="inlineStr">
        <is>
          <t>箱</t>
        </is>
      </c>
      <c r="I128" s="9" t="n">
        <v>10</v>
      </c>
      <c r="J128" s="12" t="n">
        <v>3200</v>
      </c>
      <c r="K128" s="12">
        <f>IF(AND(I128&lt;&gt;"",J128&lt;&gt;""),I128*J128,"")</f>
        <v/>
      </c>
      <c r="L128" s="9" t="inlineStr">
        <is>
          <t>10%</t>
        </is>
      </c>
      <c r="M128" s="10">
        <f>B128+14</f>
        <v/>
      </c>
      <c r="N128" s="10">
        <f>B128+18</f>
        <v/>
      </c>
      <c r="O128" s="9" t="inlineStr">
        <is>
          <t>未発注</t>
        </is>
      </c>
      <c r="P128" s="11" t="inlineStr">
        <is>
          <t>—</t>
        </is>
      </c>
    </row>
    <row r="129">
      <c r="A129" s="9" t="n">
        <v>126</v>
      </c>
      <c r="B129" s="10">
        <f>DATE(2026,6,14)</f>
        <v/>
      </c>
      <c r="C129" s="9" t="inlineStr">
        <is>
          <t>V042</t>
        </is>
      </c>
      <c r="D129" s="11">
        <f>IFERROR(VLOOKUP(C129,取引先マスタ!A:E,2,FALSE),"")</f>
        <v/>
      </c>
      <c r="E129" s="9" t="inlineStr">
        <is>
          <t>P003</t>
        </is>
      </c>
      <c r="F129" s="11">
        <f>IFERROR(VLOOKUP(E129,案件マスタ!A:D,2,FALSE),"")</f>
        <v/>
      </c>
      <c r="G129" s="11" t="inlineStr">
        <is>
          <t>ノートPC</t>
        </is>
      </c>
      <c r="H129" s="9" t="inlineStr">
        <is>
          <t>台</t>
        </is>
      </c>
      <c r="I129" s="9" t="n">
        <v>2</v>
      </c>
      <c r="J129" s="12" t="n">
        <v>145000</v>
      </c>
      <c r="K129" s="12">
        <f>IF(AND(I129&lt;&gt;"",J129&lt;&gt;""),I129*J129,"")</f>
        <v/>
      </c>
      <c r="L129" s="9" t="inlineStr">
        <is>
          <t>10%</t>
        </is>
      </c>
      <c r="M129" s="10">
        <f>B129+14</f>
        <v/>
      </c>
      <c r="N129" s="11" t="n"/>
      <c r="O129" s="9" t="inlineStr">
        <is>
          <t>発注済</t>
        </is>
      </c>
      <c r="P129" s="11" t="inlineStr">
        <is>
          <t>—</t>
        </is>
      </c>
    </row>
    <row r="130">
      <c r="A130" s="9" t="n">
        <v>127</v>
      </c>
      <c r="B130" s="10">
        <f>DATE(2026,7,15)</f>
        <v/>
      </c>
      <c r="C130" s="9" t="inlineStr">
        <is>
          <t>V043</t>
        </is>
      </c>
      <c r="D130" s="11">
        <f>IFERROR(VLOOKUP(C130,取引先マスタ!A:E,2,FALSE),"")</f>
        <v/>
      </c>
      <c r="E130" s="9" t="inlineStr">
        <is>
          <t>P001</t>
        </is>
      </c>
      <c r="F130" s="11">
        <f>IFERROR(VLOOKUP(E130,案件マスタ!A:D,2,FALSE),"")</f>
        <v/>
      </c>
      <c r="G130" s="11" t="inlineStr">
        <is>
          <t>プリンター用紙</t>
        </is>
      </c>
      <c r="H130" s="9" t="inlineStr">
        <is>
          <t>箱</t>
        </is>
      </c>
      <c r="I130" s="9" t="n">
        <v>10</v>
      </c>
      <c r="J130" s="12" t="n">
        <v>3200</v>
      </c>
      <c r="K130" s="12">
        <f>IF(AND(I130&lt;&gt;"",J130&lt;&gt;""),I130*J130,"")</f>
        <v/>
      </c>
      <c r="L130" s="9" t="inlineStr">
        <is>
          <t>10%</t>
        </is>
      </c>
      <c r="M130" s="10">
        <f>B130+14</f>
        <v/>
      </c>
      <c r="N130" s="11" t="n"/>
      <c r="O130" s="9" t="inlineStr">
        <is>
          <t>未発注</t>
        </is>
      </c>
      <c r="P130" s="11" t="inlineStr">
        <is>
          <t>—</t>
        </is>
      </c>
    </row>
    <row r="131">
      <c r="A131" s="9" t="n">
        <v>128</v>
      </c>
      <c r="B131" s="10">
        <f>DATE(2026,8,16)</f>
        <v/>
      </c>
      <c r="C131" s="9" t="inlineStr">
        <is>
          <t>V043</t>
        </is>
      </c>
      <c r="D131" s="11">
        <f>IFERROR(VLOOKUP(C131,取引先マスタ!A:E,2,FALSE),"")</f>
        <v/>
      </c>
      <c r="E131" s="9" t="inlineStr">
        <is>
          <t>P002</t>
        </is>
      </c>
      <c r="F131" s="11">
        <f>IFERROR(VLOOKUP(E131,案件マスタ!A:D,2,FALSE),"")</f>
        <v/>
      </c>
      <c r="G131" s="11" t="inlineStr">
        <is>
          <t>ノートPC</t>
        </is>
      </c>
      <c r="H131" s="9" t="inlineStr">
        <is>
          <t>台</t>
        </is>
      </c>
      <c r="I131" s="9" t="n">
        <v>2</v>
      </c>
      <c r="J131" s="12" t="n">
        <v>145000</v>
      </c>
      <c r="K131" s="12">
        <f>IF(AND(I131&lt;&gt;"",J131&lt;&gt;""),I131*J131,"")</f>
        <v/>
      </c>
      <c r="L131" s="9" t="inlineStr">
        <is>
          <t>10%</t>
        </is>
      </c>
      <c r="M131" s="10">
        <f>B131+14</f>
        <v/>
      </c>
      <c r="N131" s="11" t="n"/>
      <c r="O131" s="9" t="inlineStr">
        <is>
          <t>発注済</t>
        </is>
      </c>
      <c r="P131" s="11" t="inlineStr">
        <is>
          <t>—</t>
        </is>
      </c>
    </row>
    <row r="132">
      <c r="A132" s="9" t="n">
        <v>129</v>
      </c>
      <c r="B132" s="10">
        <f>DATE(2026,9,17)</f>
        <v/>
      </c>
      <c r="C132" s="9" t="inlineStr">
        <is>
          <t>V043</t>
        </is>
      </c>
      <c r="D132" s="11">
        <f>IFERROR(VLOOKUP(C132,取引先マスタ!A:E,2,FALSE),"")</f>
        <v/>
      </c>
      <c r="E132" s="9" t="inlineStr">
        <is>
          <t>P003</t>
        </is>
      </c>
      <c r="F132" s="11">
        <f>IFERROR(VLOOKUP(E132,案件マスタ!A:D,2,FALSE),"")</f>
        <v/>
      </c>
      <c r="G132" s="11" t="inlineStr">
        <is>
          <t>外付けHDD 4TB</t>
        </is>
      </c>
      <c r="H132" s="9" t="inlineStr">
        <is>
          <t>台</t>
        </is>
      </c>
      <c r="I132" s="9" t="n">
        <v>3</v>
      </c>
      <c r="J132" s="12" t="n">
        <v>9800</v>
      </c>
      <c r="K132" s="12">
        <f>IF(AND(I132&lt;&gt;"",J132&lt;&gt;""),I132*J132,"")</f>
        <v/>
      </c>
      <c r="L132" s="9" t="inlineStr">
        <is>
          <t>10%</t>
        </is>
      </c>
      <c r="M132" s="10">
        <f>B132+14</f>
        <v/>
      </c>
      <c r="N132" s="10">
        <f>B132+18</f>
        <v/>
      </c>
      <c r="O132" s="9" t="inlineStr">
        <is>
          <t>納品待ち</t>
        </is>
      </c>
      <c r="P132" s="11" t="inlineStr">
        <is>
          <t>—</t>
        </is>
      </c>
    </row>
    <row r="133">
      <c r="A133" s="9" t="n">
        <v>130</v>
      </c>
      <c r="B133" s="10">
        <f>DATE(2026,10,18)</f>
        <v/>
      </c>
      <c r="C133" s="9" t="inlineStr">
        <is>
          <t>V044</t>
        </is>
      </c>
      <c r="D133" s="11">
        <f>IFERROR(VLOOKUP(C133,取引先マスタ!A:E,2,FALSE),"")</f>
        <v/>
      </c>
      <c r="E133" s="9" t="inlineStr">
        <is>
          <t>P001</t>
        </is>
      </c>
      <c r="F133" s="11">
        <f>IFERROR(VLOOKUP(E133,案件マスタ!A:D,2,FALSE),"")</f>
        <v/>
      </c>
      <c r="G133" s="11" t="inlineStr">
        <is>
          <t>ノートPC</t>
        </is>
      </c>
      <c r="H133" s="9" t="inlineStr">
        <is>
          <t>台</t>
        </is>
      </c>
      <c r="I133" s="9" t="n">
        <v>2</v>
      </c>
      <c r="J133" s="12" t="n">
        <v>145000</v>
      </c>
      <c r="K133" s="12">
        <f>IF(AND(I133&lt;&gt;"",J133&lt;&gt;""),I133*J133,"")</f>
        <v/>
      </c>
      <c r="L133" s="9" t="inlineStr">
        <is>
          <t>10%</t>
        </is>
      </c>
      <c r="M133" s="10">
        <f>B133+14</f>
        <v/>
      </c>
      <c r="N133" s="11" t="n"/>
      <c r="O133" s="9" t="inlineStr">
        <is>
          <t>発注済</t>
        </is>
      </c>
      <c r="P133" s="11" t="inlineStr">
        <is>
          <t>—</t>
        </is>
      </c>
    </row>
    <row r="134">
      <c r="A134" s="9" t="n">
        <v>131</v>
      </c>
      <c r="B134" s="10">
        <f>DATE(2026,11,19)</f>
        <v/>
      </c>
      <c r="C134" s="9" t="inlineStr">
        <is>
          <t>V044</t>
        </is>
      </c>
      <c r="D134" s="11">
        <f>IFERROR(VLOOKUP(C134,取引先マスタ!A:E,2,FALSE),"")</f>
        <v/>
      </c>
      <c r="E134" s="9" t="inlineStr">
        <is>
          <t>P002</t>
        </is>
      </c>
      <c r="F134" s="11">
        <f>IFERROR(VLOOKUP(E134,案件マスタ!A:D,2,FALSE),"")</f>
        <v/>
      </c>
      <c r="G134" s="11" t="inlineStr">
        <is>
          <t>外付けHDD 4TB</t>
        </is>
      </c>
      <c r="H134" s="9" t="inlineStr">
        <is>
          <t>台</t>
        </is>
      </c>
      <c r="I134" s="9" t="n">
        <v>3</v>
      </c>
      <c r="J134" s="12" t="n">
        <v>9800</v>
      </c>
      <c r="K134" s="12">
        <f>IF(AND(I134&lt;&gt;"",J134&lt;&gt;""),I134*J134,"")</f>
        <v/>
      </c>
      <c r="L134" s="9" t="inlineStr">
        <is>
          <t>10%</t>
        </is>
      </c>
      <c r="M134" s="10">
        <f>B134+14</f>
        <v/>
      </c>
      <c r="N134" s="11" t="n"/>
      <c r="O134" s="9" t="inlineStr">
        <is>
          <t>納品待ち</t>
        </is>
      </c>
      <c r="P134" s="11" t="inlineStr">
        <is>
          <t>—</t>
        </is>
      </c>
    </row>
    <row r="135">
      <c r="A135" s="9" t="n">
        <v>132</v>
      </c>
      <c r="B135" s="10">
        <f>DATE(2026,12,20)</f>
        <v/>
      </c>
      <c r="C135" s="9" t="inlineStr">
        <is>
          <t>V044</t>
        </is>
      </c>
      <c r="D135" s="11">
        <f>IFERROR(VLOOKUP(C135,取引先マスタ!A:E,2,FALSE),"")</f>
        <v/>
      </c>
      <c r="E135" s="9" t="inlineStr">
        <is>
          <t>P003</t>
        </is>
      </c>
      <c r="F135" s="11">
        <f>IFERROR(VLOOKUP(E135,案件マスタ!A:D,2,FALSE),"")</f>
        <v/>
      </c>
      <c r="G135" s="11" t="inlineStr">
        <is>
          <t>オフィスデスク</t>
        </is>
      </c>
      <c r="H135" s="9" t="inlineStr">
        <is>
          <t>台</t>
        </is>
      </c>
      <c r="I135" s="9" t="n">
        <v>2</v>
      </c>
      <c r="J135" s="12" t="n">
        <v>38000</v>
      </c>
      <c r="K135" s="12">
        <f>IF(AND(I135&lt;&gt;"",J135&lt;&gt;""),I135*J135,"")</f>
        <v/>
      </c>
      <c r="L135" s="9" t="inlineStr">
        <is>
          <t>10%</t>
        </is>
      </c>
      <c r="M135" s="10">
        <f>B135+14</f>
        <v/>
      </c>
      <c r="N135" s="11" t="n"/>
      <c r="O135" s="9" t="inlineStr">
        <is>
          <t>検収済</t>
        </is>
      </c>
      <c r="P135" s="11" t="inlineStr">
        <is>
          <t>—</t>
        </is>
      </c>
    </row>
    <row r="136">
      <c r="A136" s="9" t="n">
        <v>133</v>
      </c>
      <c r="B136" s="10">
        <f>DATE(2026,1,21)</f>
        <v/>
      </c>
      <c r="C136" s="9" t="inlineStr">
        <is>
          <t>V045</t>
        </is>
      </c>
      <c r="D136" s="11">
        <f>IFERROR(VLOOKUP(C136,取引先マスタ!A:E,2,FALSE),"")</f>
        <v/>
      </c>
      <c r="E136" s="9" t="inlineStr">
        <is>
          <t>P001</t>
        </is>
      </c>
      <c r="F136" s="11">
        <f>IFERROR(VLOOKUP(E136,案件マスタ!A:D,2,FALSE),"")</f>
        <v/>
      </c>
      <c r="G136" s="11" t="inlineStr">
        <is>
          <t>外付けHDD 4TB</t>
        </is>
      </c>
      <c r="H136" s="9" t="inlineStr">
        <is>
          <t>台</t>
        </is>
      </c>
      <c r="I136" s="9" t="n">
        <v>3</v>
      </c>
      <c r="J136" s="12" t="n">
        <v>9800</v>
      </c>
      <c r="K136" s="12">
        <f>IF(AND(I136&lt;&gt;"",J136&lt;&gt;""),I136*J136,"")</f>
        <v/>
      </c>
      <c r="L136" s="9" t="inlineStr">
        <is>
          <t>10%</t>
        </is>
      </c>
      <c r="M136" s="10">
        <f>B136+14</f>
        <v/>
      </c>
      <c r="N136" s="10">
        <f>B136+18</f>
        <v/>
      </c>
      <c r="O136" s="9" t="inlineStr">
        <is>
          <t>納品待ち</t>
        </is>
      </c>
      <c r="P136" s="11" t="inlineStr">
        <is>
          <t>—</t>
        </is>
      </c>
    </row>
    <row r="137">
      <c r="A137" s="9" t="n">
        <v>134</v>
      </c>
      <c r="B137" s="10">
        <f>DATE(2026,2,22)</f>
        <v/>
      </c>
      <c r="C137" s="9" t="inlineStr">
        <is>
          <t>V045</t>
        </is>
      </c>
      <c r="D137" s="11">
        <f>IFERROR(VLOOKUP(C137,取引先マスタ!A:E,2,FALSE),"")</f>
        <v/>
      </c>
      <c r="E137" s="9" t="inlineStr">
        <is>
          <t>P002</t>
        </is>
      </c>
      <c r="F137" s="11">
        <f>IFERROR(VLOOKUP(E137,案件マスタ!A:D,2,FALSE),"")</f>
        <v/>
      </c>
      <c r="G137" s="11" t="inlineStr">
        <is>
          <t>オフィスデスク</t>
        </is>
      </c>
      <c r="H137" s="9" t="inlineStr">
        <is>
          <t>台</t>
        </is>
      </c>
      <c r="I137" s="9" t="n">
        <v>2</v>
      </c>
      <c r="J137" s="12" t="n">
        <v>38000</v>
      </c>
      <c r="K137" s="12">
        <f>IF(AND(I137&lt;&gt;"",J137&lt;&gt;""),I137*J137,"")</f>
        <v/>
      </c>
      <c r="L137" s="9" t="inlineStr">
        <is>
          <t>10%</t>
        </is>
      </c>
      <c r="M137" s="10">
        <f>B137+14</f>
        <v/>
      </c>
      <c r="N137" s="11" t="n"/>
      <c r="O137" s="9" t="inlineStr">
        <is>
          <t>検収済</t>
        </is>
      </c>
      <c r="P137" s="11" t="inlineStr">
        <is>
          <t>—</t>
        </is>
      </c>
    </row>
    <row r="138">
      <c r="A138" s="9" t="n">
        <v>135</v>
      </c>
      <c r="B138" s="10">
        <f>DATE(2026,3,23)</f>
        <v/>
      </c>
      <c r="C138" s="9" t="inlineStr">
        <is>
          <t>V045</t>
        </is>
      </c>
      <c r="D138" s="11">
        <f>IFERROR(VLOOKUP(C138,取引先マスタ!A:E,2,FALSE),"")</f>
        <v/>
      </c>
      <c r="E138" s="9" t="inlineStr">
        <is>
          <t>P003</t>
        </is>
      </c>
      <c r="F138" s="11">
        <f>IFERROR(VLOOKUP(E138,案件マスタ!A:D,2,FALSE),"")</f>
        <v/>
      </c>
      <c r="G138" s="11" t="inlineStr">
        <is>
          <t>ホワイトボード</t>
        </is>
      </c>
      <c r="H138" s="9" t="inlineStr">
        <is>
          <t>台</t>
        </is>
      </c>
      <c r="I138" s="9" t="n">
        <v>1</v>
      </c>
      <c r="J138" s="12" t="n">
        <v>22000</v>
      </c>
      <c r="K138" s="12">
        <f>IF(AND(I138&lt;&gt;"",J138&lt;&gt;""),I138*J138,"")</f>
        <v/>
      </c>
      <c r="L138" s="9" t="inlineStr">
        <is>
          <t>10%</t>
        </is>
      </c>
      <c r="M138" s="10">
        <f>B138+14</f>
        <v/>
      </c>
      <c r="N138" s="11" t="n"/>
      <c r="O138" s="9" t="inlineStr">
        <is>
          <t>完了</t>
        </is>
      </c>
      <c r="P138" s="11" t="inlineStr">
        <is>
          <t>—</t>
        </is>
      </c>
    </row>
    <row r="139">
      <c r="A139" s="9" t="n">
        <v>136</v>
      </c>
      <c r="B139" s="10">
        <f>DATE(2026,4,24)</f>
        <v/>
      </c>
      <c r="C139" s="9" t="inlineStr">
        <is>
          <t>V046</t>
        </is>
      </c>
      <c r="D139" s="11">
        <f>IFERROR(VLOOKUP(C139,取引先マスタ!A:E,2,FALSE),"")</f>
        <v/>
      </c>
      <c r="E139" s="9" t="inlineStr">
        <is>
          <t>P001</t>
        </is>
      </c>
      <c r="F139" s="11">
        <f>IFERROR(VLOOKUP(E139,案件マスタ!A:D,2,FALSE),"")</f>
        <v/>
      </c>
      <c r="G139" s="11" t="inlineStr">
        <is>
          <t>オフィスデスク</t>
        </is>
      </c>
      <c r="H139" s="9" t="inlineStr">
        <is>
          <t>台</t>
        </is>
      </c>
      <c r="I139" s="9" t="n">
        <v>2</v>
      </c>
      <c r="J139" s="12" t="n">
        <v>38000</v>
      </c>
      <c r="K139" s="12">
        <f>IF(AND(I139&lt;&gt;"",J139&lt;&gt;""),I139*J139,"")</f>
        <v/>
      </c>
      <c r="L139" s="9" t="inlineStr">
        <is>
          <t>10%</t>
        </is>
      </c>
      <c r="M139" s="10">
        <f>B139+14</f>
        <v/>
      </c>
      <c r="N139" s="11" t="n"/>
      <c r="O139" s="9" t="inlineStr">
        <is>
          <t>検収済</t>
        </is>
      </c>
      <c r="P139" s="11" t="inlineStr">
        <is>
          <t>—</t>
        </is>
      </c>
    </row>
    <row r="140">
      <c r="A140" s="9" t="n">
        <v>137</v>
      </c>
      <c r="B140" s="10">
        <f>DATE(2026,5,25)</f>
        <v/>
      </c>
      <c r="C140" s="9" t="inlineStr">
        <is>
          <t>V046</t>
        </is>
      </c>
      <c r="D140" s="11">
        <f>IFERROR(VLOOKUP(C140,取引先マスタ!A:E,2,FALSE),"")</f>
        <v/>
      </c>
      <c r="E140" s="9" t="inlineStr">
        <is>
          <t>P002</t>
        </is>
      </c>
      <c r="F140" s="11">
        <f>IFERROR(VLOOKUP(E140,案件マスタ!A:D,2,FALSE),"")</f>
        <v/>
      </c>
      <c r="G140" s="11" t="inlineStr">
        <is>
          <t>ホワイトボード</t>
        </is>
      </c>
      <c r="H140" s="9" t="inlineStr">
        <is>
          <t>台</t>
        </is>
      </c>
      <c r="I140" s="9" t="n">
        <v>1</v>
      </c>
      <c r="J140" s="12" t="n">
        <v>22000</v>
      </c>
      <c r="K140" s="12">
        <f>IF(AND(I140&lt;&gt;"",J140&lt;&gt;""),I140*J140,"")</f>
        <v/>
      </c>
      <c r="L140" s="9" t="inlineStr">
        <is>
          <t>10%</t>
        </is>
      </c>
      <c r="M140" s="10">
        <f>B140+14</f>
        <v/>
      </c>
      <c r="N140" s="10">
        <f>B140+18</f>
        <v/>
      </c>
      <c r="O140" s="9" t="inlineStr">
        <is>
          <t>完了</t>
        </is>
      </c>
      <c r="P140" s="11" t="inlineStr">
        <is>
          <t>—</t>
        </is>
      </c>
    </row>
    <row r="141">
      <c r="A141" s="9" t="n">
        <v>138</v>
      </c>
      <c r="B141" s="10">
        <f>DATE(2026,6,26)</f>
        <v/>
      </c>
      <c r="C141" s="9" t="inlineStr">
        <is>
          <t>V046</t>
        </is>
      </c>
      <c r="D141" s="11">
        <f>IFERROR(VLOOKUP(C141,取引先マスタ!A:E,2,FALSE),"")</f>
        <v/>
      </c>
      <c r="E141" s="9" t="inlineStr">
        <is>
          <t>P003</t>
        </is>
      </c>
      <c r="F141" s="11">
        <f>IFERROR(VLOOKUP(E141,案件マスタ!A:D,2,FALSE),"")</f>
        <v/>
      </c>
      <c r="G141" s="11" t="inlineStr">
        <is>
          <t>プロジェクター</t>
        </is>
      </c>
      <c r="H141" s="9" t="inlineStr">
        <is>
          <t>台</t>
        </is>
      </c>
      <c r="I141" s="9" t="n">
        <v>1</v>
      </c>
      <c r="J141" s="12" t="n">
        <v>65000</v>
      </c>
      <c r="K141" s="12">
        <f>IF(AND(I141&lt;&gt;"",J141&lt;&gt;""),I141*J141,"")</f>
        <v/>
      </c>
      <c r="L141" s="9" t="inlineStr">
        <is>
          <t>10%</t>
        </is>
      </c>
      <c r="M141" s="10">
        <f>B141+14</f>
        <v/>
      </c>
      <c r="N141" s="11" t="n"/>
      <c r="O141" s="9" t="inlineStr">
        <is>
          <t>保留</t>
        </is>
      </c>
      <c r="P141" s="11" t="inlineStr">
        <is>
          <t>—</t>
        </is>
      </c>
    </row>
    <row r="142">
      <c r="A142" s="9" t="n">
        <v>139</v>
      </c>
      <c r="B142" s="10">
        <f>DATE(2026,7,27)</f>
        <v/>
      </c>
      <c r="C142" s="9" t="inlineStr">
        <is>
          <t>V047</t>
        </is>
      </c>
      <c r="D142" s="11">
        <f>IFERROR(VLOOKUP(C142,取引先マスタ!A:E,2,FALSE),"")</f>
        <v/>
      </c>
      <c r="E142" s="9" t="inlineStr">
        <is>
          <t>P001</t>
        </is>
      </c>
      <c r="F142" s="11">
        <f>IFERROR(VLOOKUP(E142,案件マスタ!A:D,2,FALSE),"")</f>
        <v/>
      </c>
      <c r="G142" s="11" t="inlineStr">
        <is>
          <t>ホワイトボード</t>
        </is>
      </c>
      <c r="H142" s="9" t="inlineStr">
        <is>
          <t>台</t>
        </is>
      </c>
      <c r="I142" s="9" t="n">
        <v>1</v>
      </c>
      <c r="J142" s="12" t="n">
        <v>22000</v>
      </c>
      <c r="K142" s="12">
        <f>IF(AND(I142&lt;&gt;"",J142&lt;&gt;""),I142*J142,"")</f>
        <v/>
      </c>
      <c r="L142" s="9" t="inlineStr">
        <is>
          <t>10%</t>
        </is>
      </c>
      <c r="M142" s="10">
        <f>B142+14</f>
        <v/>
      </c>
      <c r="N142" s="11" t="n"/>
      <c r="O142" s="9" t="inlineStr">
        <is>
          <t>完了</t>
        </is>
      </c>
      <c r="P142" s="11" t="inlineStr">
        <is>
          <t>—</t>
        </is>
      </c>
    </row>
    <row r="143">
      <c r="A143" s="9" t="n">
        <v>140</v>
      </c>
      <c r="B143" s="10">
        <f>DATE(2026,8,28)</f>
        <v/>
      </c>
      <c r="C143" s="9" t="inlineStr">
        <is>
          <t>V047</t>
        </is>
      </c>
      <c r="D143" s="11">
        <f>IFERROR(VLOOKUP(C143,取引先マスタ!A:E,2,FALSE),"")</f>
        <v/>
      </c>
      <c r="E143" s="9" t="inlineStr">
        <is>
          <t>P002</t>
        </is>
      </c>
      <c r="F143" s="11">
        <f>IFERROR(VLOOKUP(E143,案件マスタ!A:D,2,FALSE),"")</f>
        <v/>
      </c>
      <c r="G143" s="11" t="inlineStr">
        <is>
          <t>プロジェクター</t>
        </is>
      </c>
      <c r="H143" s="9" t="inlineStr">
        <is>
          <t>台</t>
        </is>
      </c>
      <c r="I143" s="9" t="n">
        <v>1</v>
      </c>
      <c r="J143" s="12" t="n">
        <v>65000</v>
      </c>
      <c r="K143" s="12">
        <f>IF(AND(I143&lt;&gt;"",J143&lt;&gt;""),I143*J143,"")</f>
        <v/>
      </c>
      <c r="L143" s="9" t="inlineStr">
        <is>
          <t>10%</t>
        </is>
      </c>
      <c r="M143" s="10">
        <f>B143+14</f>
        <v/>
      </c>
      <c r="N143" s="11" t="n"/>
      <c r="O143" s="9" t="inlineStr">
        <is>
          <t>保留</t>
        </is>
      </c>
      <c r="P143" s="11" t="inlineStr">
        <is>
          <t>—</t>
        </is>
      </c>
    </row>
    <row r="144">
      <c r="A144" s="9" t="n">
        <v>141</v>
      </c>
      <c r="B144" s="10">
        <f>DATE(2026,9,1)</f>
        <v/>
      </c>
      <c r="C144" s="9" t="inlineStr">
        <is>
          <t>V047</t>
        </is>
      </c>
      <c r="D144" s="11">
        <f>IFERROR(VLOOKUP(C144,取引先マスタ!A:E,2,FALSE),"")</f>
        <v/>
      </c>
      <c r="E144" s="9" t="inlineStr">
        <is>
          <t>P003</t>
        </is>
      </c>
      <c r="F144" s="11">
        <f>IFERROR(VLOOKUP(E144,案件マスタ!A:D,2,FALSE),"")</f>
        <v/>
      </c>
      <c r="G144" s="11" t="inlineStr">
        <is>
          <t>複合機トナー</t>
        </is>
      </c>
      <c r="H144" s="9" t="inlineStr">
        <is>
          <t>本</t>
        </is>
      </c>
      <c r="I144" s="9" t="n">
        <v>4</v>
      </c>
      <c r="J144" s="12" t="n">
        <v>12500</v>
      </c>
      <c r="K144" s="12">
        <f>IF(AND(I144&lt;&gt;"",J144&lt;&gt;""),I144*J144,"")</f>
        <v/>
      </c>
      <c r="L144" s="9" t="inlineStr">
        <is>
          <t>10%</t>
        </is>
      </c>
      <c r="M144" s="10">
        <f>B144+14</f>
        <v/>
      </c>
      <c r="N144" s="10">
        <f>B144+18</f>
        <v/>
      </c>
      <c r="O144" s="9" t="inlineStr">
        <is>
          <t>未発注</t>
        </is>
      </c>
      <c r="P144" s="11" t="inlineStr">
        <is>
          <t>—</t>
        </is>
      </c>
    </row>
    <row r="145">
      <c r="A145" s="9" t="n">
        <v>142</v>
      </c>
      <c r="B145" s="10">
        <f>DATE(2026,10,2)</f>
        <v/>
      </c>
      <c r="C145" s="9" t="inlineStr">
        <is>
          <t>V048</t>
        </is>
      </c>
      <c r="D145" s="11">
        <f>IFERROR(VLOOKUP(C145,取引先マスタ!A:E,2,FALSE),"")</f>
        <v/>
      </c>
      <c r="E145" s="9" t="inlineStr">
        <is>
          <t>P001</t>
        </is>
      </c>
      <c r="F145" s="11">
        <f>IFERROR(VLOOKUP(E145,案件マスタ!A:D,2,FALSE),"")</f>
        <v/>
      </c>
      <c r="G145" s="11" t="inlineStr">
        <is>
          <t>プロジェクター</t>
        </is>
      </c>
      <c r="H145" s="9" t="inlineStr">
        <is>
          <t>台</t>
        </is>
      </c>
      <c r="I145" s="9" t="n">
        <v>1</v>
      </c>
      <c r="J145" s="12" t="n">
        <v>65000</v>
      </c>
      <c r="K145" s="12">
        <f>IF(AND(I145&lt;&gt;"",J145&lt;&gt;""),I145*J145,"")</f>
        <v/>
      </c>
      <c r="L145" s="9" t="inlineStr">
        <is>
          <t>10%</t>
        </is>
      </c>
      <c r="M145" s="10">
        <f>B145+14</f>
        <v/>
      </c>
      <c r="N145" s="11" t="n"/>
      <c r="O145" s="9" t="inlineStr">
        <is>
          <t>保留</t>
        </is>
      </c>
      <c r="P145" s="11" t="inlineStr">
        <is>
          <t>—</t>
        </is>
      </c>
    </row>
    <row r="146">
      <c r="A146" s="9" t="n">
        <v>143</v>
      </c>
      <c r="B146" s="10">
        <f>DATE(2026,11,3)</f>
        <v/>
      </c>
      <c r="C146" s="9" t="inlineStr">
        <is>
          <t>V048</t>
        </is>
      </c>
      <c r="D146" s="11">
        <f>IFERROR(VLOOKUP(C146,取引先マスタ!A:E,2,FALSE),"")</f>
        <v/>
      </c>
      <c r="E146" s="9" t="inlineStr">
        <is>
          <t>P002</t>
        </is>
      </c>
      <c r="F146" s="11">
        <f>IFERROR(VLOOKUP(E146,案件マスタ!A:D,2,FALSE),"")</f>
        <v/>
      </c>
      <c r="G146" s="11" t="inlineStr">
        <is>
          <t>複合機トナー</t>
        </is>
      </c>
      <c r="H146" s="9" t="inlineStr">
        <is>
          <t>本</t>
        </is>
      </c>
      <c r="I146" s="9" t="n">
        <v>4</v>
      </c>
      <c r="J146" s="12" t="n">
        <v>12500</v>
      </c>
      <c r="K146" s="12">
        <f>IF(AND(I146&lt;&gt;"",J146&lt;&gt;""),I146*J146,"")</f>
        <v/>
      </c>
      <c r="L146" s="9" t="inlineStr">
        <is>
          <t>10%</t>
        </is>
      </c>
      <c r="M146" s="10">
        <f>B146+14</f>
        <v/>
      </c>
      <c r="N146" s="11" t="n"/>
      <c r="O146" s="9" t="inlineStr">
        <is>
          <t>未発注</t>
        </is>
      </c>
      <c r="P146" s="11" t="inlineStr">
        <is>
          <t>—</t>
        </is>
      </c>
    </row>
    <row r="147">
      <c r="A147" s="9" t="n">
        <v>144</v>
      </c>
      <c r="B147" s="10">
        <f>DATE(2026,12,4)</f>
        <v/>
      </c>
      <c r="C147" s="9" t="inlineStr">
        <is>
          <t>V048</t>
        </is>
      </c>
      <c r="D147" s="11">
        <f>IFERROR(VLOOKUP(C147,取引先マスタ!A:E,2,FALSE),"")</f>
        <v/>
      </c>
      <c r="E147" s="9" t="inlineStr">
        <is>
          <t>P003</t>
        </is>
      </c>
      <c r="F147" s="11">
        <f>IFERROR(VLOOKUP(E147,案件マスタ!A:D,2,FALSE),"")</f>
        <v/>
      </c>
      <c r="G147" s="11" t="inlineStr">
        <is>
          <t>応接ソファ</t>
        </is>
      </c>
      <c r="H147" s="9" t="inlineStr">
        <is>
          <t>セット</t>
        </is>
      </c>
      <c r="I147" s="9" t="n">
        <v>1</v>
      </c>
      <c r="J147" s="12" t="n">
        <v>158000</v>
      </c>
      <c r="K147" s="12">
        <f>IF(AND(I147&lt;&gt;"",J147&lt;&gt;""),I147*J147,"")</f>
        <v/>
      </c>
      <c r="L147" s="9" t="inlineStr">
        <is>
          <t>10%</t>
        </is>
      </c>
      <c r="M147" s="10">
        <f>B147+14</f>
        <v/>
      </c>
      <c r="N147" s="11" t="n"/>
      <c r="O147" s="9" t="inlineStr">
        <is>
          <t>発注済</t>
        </is>
      </c>
      <c r="P147" s="11" t="inlineStr">
        <is>
          <t>—</t>
        </is>
      </c>
    </row>
    <row r="148">
      <c r="A148" s="9" t="n">
        <v>145</v>
      </c>
      <c r="B148" s="10">
        <f>DATE(2026,1,5)</f>
        <v/>
      </c>
      <c r="C148" s="9" t="inlineStr">
        <is>
          <t>V049</t>
        </is>
      </c>
      <c r="D148" s="11">
        <f>IFERROR(VLOOKUP(C148,取引先マスタ!A:E,2,FALSE),"")</f>
        <v/>
      </c>
      <c r="E148" s="9" t="inlineStr">
        <is>
          <t>P001</t>
        </is>
      </c>
      <c r="F148" s="11">
        <f>IFERROR(VLOOKUP(E148,案件マスタ!A:D,2,FALSE),"")</f>
        <v/>
      </c>
      <c r="G148" s="11" t="inlineStr">
        <is>
          <t>複合機トナー</t>
        </is>
      </c>
      <c r="H148" s="9" t="inlineStr">
        <is>
          <t>本</t>
        </is>
      </c>
      <c r="I148" s="9" t="n">
        <v>4</v>
      </c>
      <c r="J148" s="12" t="n">
        <v>12500</v>
      </c>
      <c r="K148" s="12">
        <f>IF(AND(I148&lt;&gt;"",J148&lt;&gt;""),I148*J148,"")</f>
        <v/>
      </c>
      <c r="L148" s="9" t="inlineStr">
        <is>
          <t>10%</t>
        </is>
      </c>
      <c r="M148" s="10">
        <f>B148+14</f>
        <v/>
      </c>
      <c r="N148" s="10">
        <f>B148+18</f>
        <v/>
      </c>
      <c r="O148" s="9" t="inlineStr">
        <is>
          <t>未発注</t>
        </is>
      </c>
      <c r="P148" s="11" t="inlineStr">
        <is>
          <t>—</t>
        </is>
      </c>
    </row>
    <row r="149">
      <c r="A149" s="9" t="n">
        <v>146</v>
      </c>
      <c r="B149" s="10">
        <f>DATE(2026,2,6)</f>
        <v/>
      </c>
      <c r="C149" s="9" t="inlineStr">
        <is>
          <t>V049</t>
        </is>
      </c>
      <c r="D149" s="11">
        <f>IFERROR(VLOOKUP(C149,取引先マスタ!A:E,2,FALSE),"")</f>
        <v/>
      </c>
      <c r="E149" s="9" t="inlineStr">
        <is>
          <t>P002</t>
        </is>
      </c>
      <c r="F149" s="11">
        <f>IFERROR(VLOOKUP(E149,案件マスタ!A:D,2,FALSE),"")</f>
        <v/>
      </c>
      <c r="G149" s="11" t="inlineStr">
        <is>
          <t>応接ソファ</t>
        </is>
      </c>
      <c r="H149" s="9" t="inlineStr">
        <is>
          <t>セット</t>
        </is>
      </c>
      <c r="I149" s="9" t="n">
        <v>1</v>
      </c>
      <c r="J149" s="12" t="n">
        <v>158000</v>
      </c>
      <c r="K149" s="12">
        <f>IF(AND(I149&lt;&gt;"",J149&lt;&gt;""),I149*J149,"")</f>
        <v/>
      </c>
      <c r="L149" s="9" t="inlineStr">
        <is>
          <t>10%</t>
        </is>
      </c>
      <c r="M149" s="10">
        <f>B149+14</f>
        <v/>
      </c>
      <c r="N149" s="11" t="n"/>
      <c r="O149" s="9" t="inlineStr">
        <is>
          <t>発注済</t>
        </is>
      </c>
      <c r="P149" s="11" t="inlineStr">
        <is>
          <t>—</t>
        </is>
      </c>
    </row>
    <row r="150">
      <c r="A150" s="9" t="n">
        <v>147</v>
      </c>
      <c r="B150" s="10">
        <f>DATE(2026,3,7)</f>
        <v/>
      </c>
      <c r="C150" s="9" t="inlineStr">
        <is>
          <t>V049</t>
        </is>
      </c>
      <c r="D150" s="11">
        <f>IFERROR(VLOOKUP(C150,取引先マスタ!A:E,2,FALSE),"")</f>
        <v/>
      </c>
      <c r="E150" s="9" t="inlineStr">
        <is>
          <t>P003</t>
        </is>
      </c>
      <c r="F150" s="11">
        <f>IFERROR(VLOOKUP(E150,案件マスタ!A:D,2,FALSE),"")</f>
        <v/>
      </c>
      <c r="G150" s="11" t="inlineStr">
        <is>
          <t>文具一式</t>
        </is>
      </c>
      <c r="H150" s="9" t="inlineStr">
        <is>
          <t>式</t>
        </is>
      </c>
      <c r="I150" s="9" t="n">
        <v>1</v>
      </c>
      <c r="J150" s="12" t="n">
        <v>12000</v>
      </c>
      <c r="K150" s="12">
        <f>IF(AND(I150&lt;&gt;"",J150&lt;&gt;""),I150*J150,"")</f>
        <v/>
      </c>
      <c r="L150" s="9" t="inlineStr">
        <is>
          <t>10%</t>
        </is>
      </c>
      <c r="M150" s="10">
        <f>B150+14</f>
        <v/>
      </c>
      <c r="N150" s="11" t="n"/>
      <c r="O150" s="9" t="inlineStr">
        <is>
          <t>納品待ち</t>
        </is>
      </c>
      <c r="P150" s="11" t="inlineStr">
        <is>
          <t>—</t>
        </is>
      </c>
    </row>
    <row r="151">
      <c r="A151" s="9" t="n">
        <v>148</v>
      </c>
      <c r="B151" s="10">
        <f>DATE(2026,4,8)</f>
        <v/>
      </c>
      <c r="C151" s="9" t="inlineStr">
        <is>
          <t>V050</t>
        </is>
      </c>
      <c r="D151" s="11">
        <f>IFERROR(VLOOKUP(C151,取引先マスタ!A:E,2,FALSE),"")</f>
        <v/>
      </c>
      <c r="E151" s="9" t="inlineStr">
        <is>
          <t>P001</t>
        </is>
      </c>
      <c r="F151" s="11">
        <f>IFERROR(VLOOKUP(E151,案件マスタ!A:D,2,FALSE),"")</f>
        <v/>
      </c>
      <c r="G151" s="11" t="inlineStr">
        <is>
          <t>応接ソファ</t>
        </is>
      </c>
      <c r="H151" s="9" t="inlineStr">
        <is>
          <t>セット</t>
        </is>
      </c>
      <c r="I151" s="9" t="n">
        <v>1</v>
      </c>
      <c r="J151" s="12" t="n">
        <v>158000</v>
      </c>
      <c r="K151" s="12">
        <f>IF(AND(I151&lt;&gt;"",J151&lt;&gt;""),I151*J151,"")</f>
        <v/>
      </c>
      <c r="L151" s="9" t="inlineStr">
        <is>
          <t>10%</t>
        </is>
      </c>
      <c r="M151" s="10">
        <f>B151+14</f>
        <v/>
      </c>
      <c r="N151" s="11" t="n"/>
      <c r="O151" s="9" t="inlineStr">
        <is>
          <t>発注済</t>
        </is>
      </c>
      <c r="P151" s="11" t="inlineStr">
        <is>
          <t>—</t>
        </is>
      </c>
    </row>
    <row r="152">
      <c r="A152" s="9" t="n">
        <v>149</v>
      </c>
      <c r="B152" s="10">
        <f>DATE(2026,5,9)</f>
        <v/>
      </c>
      <c r="C152" s="9" t="inlineStr">
        <is>
          <t>V050</t>
        </is>
      </c>
      <c r="D152" s="11">
        <f>IFERROR(VLOOKUP(C152,取引先マスタ!A:E,2,FALSE),"")</f>
        <v/>
      </c>
      <c r="E152" s="9" t="inlineStr">
        <is>
          <t>P002</t>
        </is>
      </c>
      <c r="F152" s="11">
        <f>IFERROR(VLOOKUP(E152,案件マスタ!A:D,2,FALSE),"")</f>
        <v/>
      </c>
      <c r="G152" s="11" t="inlineStr">
        <is>
          <t>文具一式</t>
        </is>
      </c>
      <c r="H152" s="9" t="inlineStr">
        <is>
          <t>式</t>
        </is>
      </c>
      <c r="I152" s="9" t="n">
        <v>1</v>
      </c>
      <c r="J152" s="12" t="n">
        <v>12000</v>
      </c>
      <c r="K152" s="12">
        <f>IF(AND(I152&lt;&gt;"",J152&lt;&gt;""),I152*J152,"")</f>
        <v/>
      </c>
      <c r="L152" s="9" t="inlineStr">
        <is>
          <t>10%</t>
        </is>
      </c>
      <c r="M152" s="10">
        <f>B152+14</f>
        <v/>
      </c>
      <c r="N152" s="10">
        <f>B152+18</f>
        <v/>
      </c>
      <c r="O152" s="9" t="inlineStr">
        <is>
          <t>納品待ち</t>
        </is>
      </c>
      <c r="P152" s="11" t="inlineStr">
        <is>
          <t>—</t>
        </is>
      </c>
    </row>
    <row r="153">
      <c r="A153" s="9" t="n">
        <v>150</v>
      </c>
      <c r="B153" s="10">
        <f>DATE(2026,6,10)</f>
        <v/>
      </c>
      <c r="C153" s="9" t="inlineStr">
        <is>
          <t>V050</t>
        </is>
      </c>
      <c r="D153" s="11">
        <f>IFERROR(VLOOKUP(C153,取引先マスタ!A:E,2,FALSE),"")</f>
        <v/>
      </c>
      <c r="E153" s="9" t="inlineStr">
        <is>
          <t>P003</t>
        </is>
      </c>
      <c r="F153" s="11">
        <f>IFERROR(VLOOKUP(E153,案件マスタ!A:D,2,FALSE),"")</f>
        <v/>
      </c>
      <c r="G153" s="11" t="inlineStr">
        <is>
          <t>オフィスチェア</t>
        </is>
      </c>
      <c r="H153" s="9" t="inlineStr">
        <is>
          <t>脚</t>
        </is>
      </c>
      <c r="I153" s="9" t="n">
        <v>4</v>
      </c>
      <c r="J153" s="12" t="n">
        <v>28000</v>
      </c>
      <c r="K153" s="12">
        <f>IF(AND(I153&lt;&gt;"",J153&lt;&gt;""),I153*J153,"")</f>
        <v/>
      </c>
      <c r="L153" s="9" t="inlineStr">
        <is>
          <t>10%</t>
        </is>
      </c>
      <c r="M153" s="10">
        <f>B153+14</f>
        <v/>
      </c>
      <c r="N153" s="11" t="n"/>
      <c r="O153" s="9" t="inlineStr">
        <is>
          <t>検収済</t>
        </is>
      </c>
      <c r="P153" s="11" t="inlineStr">
        <is>
          <t>—</t>
        </is>
      </c>
    </row>
    <row r="155">
      <c r="J155" s="13" t="inlineStr">
        <is>
          <t>総件数</t>
        </is>
      </c>
      <c r="K155" s="14">
        <f>COUNTA(A4:A153)</f>
        <v/>
      </c>
    </row>
    <row r="156">
      <c r="J156" s="13" t="inlineStr">
        <is>
          <t>金額合計(税抜)</t>
        </is>
      </c>
      <c r="K156" s="15">
        <f>SUM(K4:K153)</f>
        <v/>
      </c>
    </row>
    <row r="157">
      <c r="J157" s="13" t="inlineStr">
        <is>
          <t>消費税合計</t>
        </is>
      </c>
      <c r="K157" s="15">
        <f>SUMIF(L4:L153,"10%",K4:K153)*0.1+SUMIF(L4:L153,"8%",K4:K153)*0.08</f>
        <v/>
      </c>
    </row>
    <row r="158">
      <c r="J158" s="16" t="inlineStr">
        <is>
          <t>総計(税込)</t>
        </is>
      </c>
      <c r="K158" s="17">
        <f>K156+K157</f>
        <v/>
      </c>
    </row>
  </sheetData>
  <mergeCells count="3">
    <mergeCell ref="A1:P1"/>
    <mergeCell ref="J2:L2"/>
    <mergeCell ref="B2:D2"/>
  </mergeCells>
  <conditionalFormatting sqref="N4:N153">
    <cfRule type="expression" priority="1" dxfId="0">
      <formula>AND(N4&lt;&gt;"",M4&lt;&gt;"",N4&gt;M4)</formula>
    </cfRule>
  </conditionalFormatting>
  <conditionalFormatting sqref="O4:O153">
    <cfRule type="expression" priority="2" dxfId="1">
      <formula>O4="保留"</formula>
    </cfRule>
    <cfRule type="expression" priority="3" dxfId="2">
      <formula>O4="完了"</formula>
    </cfRule>
  </conditionalFormatting>
  <dataValidations count="2">
    <dataValidation sqref="O4:O153" showDropDown="0" showInputMessage="0" showErrorMessage="0" allowBlank="1" type="list">
      <formula1>"未発注,発注済,納品待ち,検収済,完了,保留"</formula1>
    </dataValidation>
    <dataValidation sqref="L4:L153" showDropDown="0" showInputMessage="0" showErrorMessage="0" allowBlank="1" type="list">
      <formula1>"10%,8%,非課税"</formula1>
    </dataValidation>
  </dataValidations>
  <printOptions horizontalCentered="1"/>
  <pageMargins left="0.4" right="0.4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0" customWidth="1" min="2" max="2"/>
    <col width="14" customWidth="1" min="3" max="3"/>
    <col width="16" customWidth="1" min="4" max="4"/>
    <col width="28" customWidth="1" min="5" max="5"/>
  </cols>
  <sheetData>
    <row r="1">
      <c r="A1" s="18" t="inlineStr">
        <is>
          <t>コード</t>
        </is>
      </c>
      <c r="B1" s="18" t="inlineStr">
        <is>
          <t>会社名</t>
        </is>
      </c>
      <c r="C1" s="18" t="inlineStr">
        <is>
          <t>担当者</t>
        </is>
      </c>
      <c r="D1" s="18" t="inlineStr">
        <is>
          <t>電話番号</t>
        </is>
      </c>
      <c r="E1" s="18" t="inlineStr">
        <is>
          <t>メール</t>
        </is>
      </c>
    </row>
    <row r="2">
      <c r="A2" s="19" t="inlineStr">
        <is>
          <t>V001</t>
        </is>
      </c>
      <c r="B2" s="20" t="inlineStr">
        <is>
          <t>株式会社千代商事</t>
        </is>
      </c>
      <c r="C2" s="20" t="inlineStr">
        <is>
          <t>田中一郎</t>
        </is>
      </c>
      <c r="D2" s="20" t="inlineStr">
        <is>
          <t>03-1000-1000</t>
        </is>
      </c>
      <c r="E2" s="20" t="inlineStr">
        <is>
          <t>sales001@example.com</t>
        </is>
      </c>
    </row>
    <row r="3">
      <c r="A3" s="19" t="inlineStr">
        <is>
          <t>V002</t>
        </is>
      </c>
      <c r="B3" s="20" t="inlineStr">
        <is>
          <t>株式会社品川工業</t>
        </is>
      </c>
      <c r="C3" s="20" t="inlineStr">
        <is>
          <t>鈴木二郎</t>
        </is>
      </c>
      <c r="D3" s="20" t="inlineStr">
        <is>
          <t>03-1007-1013</t>
        </is>
      </c>
      <c r="E3" s="20" t="inlineStr">
        <is>
          <t>kobai002@example.com</t>
        </is>
      </c>
    </row>
    <row r="4">
      <c r="A4" s="19" t="inlineStr">
        <is>
          <t>V003</t>
        </is>
      </c>
      <c r="B4" s="20" t="inlineStr">
        <is>
          <t>株式会社県横サプライ</t>
        </is>
      </c>
      <c r="C4" s="20" t="inlineStr">
        <is>
          <t>佐藤三郎</t>
        </is>
      </c>
      <c r="D4" s="20" t="inlineStr">
        <is>
          <t>03-1014-1026</t>
        </is>
      </c>
      <c r="E4" s="20" t="inlineStr">
        <is>
          <t>keiri003@example.com</t>
        </is>
      </c>
    </row>
    <row r="5">
      <c r="A5" s="19" t="inlineStr">
        <is>
          <t>V004</t>
        </is>
      </c>
      <c r="B5" s="20" t="inlineStr">
        <is>
          <t>株式会社千葉運送</t>
        </is>
      </c>
      <c r="C5" s="20" t="inlineStr">
        <is>
          <t>高橋四郎</t>
        </is>
      </c>
      <c r="D5" s="20" t="inlineStr">
        <is>
          <t>03-1021-1039</t>
        </is>
      </c>
      <c r="E5" s="20" t="inlineStr">
        <is>
          <t>busin004@example.com</t>
        </is>
      </c>
    </row>
    <row r="6">
      <c r="A6" s="19" t="inlineStr">
        <is>
          <t>V005</t>
        </is>
      </c>
      <c r="B6" s="20" t="inlineStr">
        <is>
          <t>株式会社さい電機</t>
        </is>
      </c>
      <c r="C6" s="20" t="inlineStr">
        <is>
          <t>伊藤五郎</t>
        </is>
      </c>
      <c r="D6" s="20" t="inlineStr">
        <is>
          <t>03-1028-1052</t>
        </is>
      </c>
      <c r="E6" s="20" t="inlineStr">
        <is>
          <t>cs005@example.com</t>
        </is>
      </c>
    </row>
    <row r="7">
      <c r="A7" s="19" t="inlineStr">
        <is>
          <t>V006</t>
        </is>
      </c>
      <c r="B7" s="20" t="inlineStr">
        <is>
          <t>株式会社新宿印刷</t>
        </is>
      </c>
      <c r="C7" s="20" t="inlineStr">
        <is>
          <t>渡辺太郎</t>
        </is>
      </c>
      <c r="D7" s="20" t="inlineStr">
        <is>
          <t>03-1035-1065</t>
        </is>
      </c>
      <c r="E7" s="20" t="inlineStr">
        <is>
          <t>sales006@example.com</t>
        </is>
      </c>
    </row>
    <row r="8">
      <c r="A8" s="19" t="inlineStr">
        <is>
          <t>V007</t>
        </is>
      </c>
      <c r="B8" s="20" t="inlineStr">
        <is>
          <t>株式会社中央商社</t>
        </is>
      </c>
      <c r="C8" s="20" t="inlineStr">
        <is>
          <t>山本次郎</t>
        </is>
      </c>
      <c r="D8" s="20" t="inlineStr">
        <is>
          <t>03-1042-1078</t>
        </is>
      </c>
      <c r="E8" s="20" t="inlineStr">
        <is>
          <t>kobai007@example.com</t>
        </is>
      </c>
    </row>
    <row r="9">
      <c r="A9" s="19" t="inlineStr">
        <is>
          <t>V008</t>
        </is>
      </c>
      <c r="B9" s="20" t="inlineStr">
        <is>
          <t>株式会社港区建設</t>
        </is>
      </c>
      <c r="C9" s="20" t="inlineStr">
        <is>
          <t>中村健一</t>
        </is>
      </c>
      <c r="D9" s="20" t="inlineStr">
        <is>
          <t>03-1049-1091</t>
        </is>
      </c>
      <c r="E9" s="20" t="inlineStr">
        <is>
          <t>keiri008@example.com</t>
        </is>
      </c>
    </row>
    <row r="10">
      <c r="A10" s="19" t="inlineStr">
        <is>
          <t>V009</t>
        </is>
      </c>
      <c r="B10" s="20" t="inlineStr">
        <is>
          <t>株式会社渋谷食品</t>
        </is>
      </c>
      <c r="C10" s="20" t="inlineStr">
        <is>
          <t>小林裕子</t>
        </is>
      </c>
      <c r="D10" s="20" t="inlineStr">
        <is>
          <t>03-1056-1104</t>
        </is>
      </c>
      <c r="E10" s="20" t="inlineStr">
        <is>
          <t>busin009@example.com</t>
        </is>
      </c>
    </row>
    <row r="11">
      <c r="A11" s="19" t="inlineStr">
        <is>
          <t>V010</t>
        </is>
      </c>
      <c r="B11" s="20" t="inlineStr">
        <is>
          <t>株式会社豊島ロジ</t>
        </is>
      </c>
      <c r="C11" s="20" t="inlineStr">
        <is>
          <t>加藤美咲</t>
        </is>
      </c>
      <c r="D11" s="20" t="inlineStr">
        <is>
          <t>03-1063-1117</t>
        </is>
      </c>
      <c r="E11" s="20" t="inlineStr">
        <is>
          <t>cs010@example.com</t>
        </is>
      </c>
    </row>
    <row r="12">
      <c r="A12" s="19" t="inlineStr">
        <is>
          <t>V011</t>
        </is>
      </c>
      <c r="B12" s="20" t="inlineStr">
        <is>
          <t>株式会社千代テック</t>
        </is>
      </c>
      <c r="C12" s="20" t="inlineStr">
        <is>
          <t>吉田翔</t>
        </is>
      </c>
      <c r="D12" s="20" t="inlineStr">
        <is>
          <t>03-1070-1130</t>
        </is>
      </c>
      <c r="E12" s="20" t="inlineStr">
        <is>
          <t>sales011@example.com</t>
        </is>
      </c>
    </row>
    <row r="13">
      <c r="A13" s="19" t="inlineStr">
        <is>
          <t>V012</t>
        </is>
      </c>
      <c r="B13" s="20" t="inlineStr">
        <is>
          <t>株式会社品川メディア</t>
        </is>
      </c>
      <c r="C13" s="20" t="inlineStr">
        <is>
          <t>山田美穂</t>
        </is>
      </c>
      <c r="D13" s="20" t="inlineStr">
        <is>
          <t>03-1077-1143</t>
        </is>
      </c>
      <c r="E13" s="20" t="inlineStr">
        <is>
          <t>kobai012@example.com</t>
        </is>
      </c>
    </row>
    <row r="14">
      <c r="A14" s="19" t="inlineStr">
        <is>
          <t>V013</t>
        </is>
      </c>
      <c r="B14" s="20" t="inlineStr">
        <is>
          <t>株式会社県横販売</t>
        </is>
      </c>
      <c r="C14" s="20" t="inlineStr">
        <is>
          <t>森直樹</t>
        </is>
      </c>
      <c r="D14" s="20" t="inlineStr">
        <is>
          <t>03-1084-1156</t>
        </is>
      </c>
      <c r="E14" s="20" t="inlineStr">
        <is>
          <t>keiri013@example.com</t>
        </is>
      </c>
    </row>
    <row r="15">
      <c r="A15" s="19" t="inlineStr">
        <is>
          <t>V014</t>
        </is>
      </c>
      <c r="B15" s="20" t="inlineStr">
        <is>
          <t>株式会社千葉繊維</t>
        </is>
      </c>
      <c r="C15" s="20" t="inlineStr">
        <is>
          <t>池田愛</t>
        </is>
      </c>
      <c r="D15" s="20" t="inlineStr">
        <is>
          <t>03-1091-1169</t>
        </is>
      </c>
      <c r="E15" s="20" t="inlineStr">
        <is>
          <t>busin014@example.com</t>
        </is>
      </c>
    </row>
    <row r="16">
      <c r="A16" s="19" t="inlineStr">
        <is>
          <t>V015</t>
        </is>
      </c>
      <c r="B16" s="20" t="inlineStr">
        <is>
          <t>株式会社さい化学</t>
        </is>
      </c>
      <c r="C16" s="20" t="inlineStr">
        <is>
          <t>原田健太</t>
        </is>
      </c>
      <c r="D16" s="20" t="inlineStr">
        <is>
          <t>03-1098-1182</t>
        </is>
      </c>
      <c r="E16" s="20" t="inlineStr">
        <is>
          <t>cs015@example.com</t>
        </is>
      </c>
    </row>
    <row r="17">
      <c r="A17" s="19" t="inlineStr">
        <is>
          <t>V016</t>
        </is>
      </c>
      <c r="B17" s="20" t="inlineStr">
        <is>
          <t>株式会社新宿通信</t>
        </is>
      </c>
      <c r="C17" s="20" t="inlineStr">
        <is>
          <t>小川結衣</t>
        </is>
      </c>
      <c r="D17" s="20" t="inlineStr">
        <is>
          <t>03-1105-1195</t>
        </is>
      </c>
      <c r="E17" s="20" t="inlineStr">
        <is>
          <t>sales016@example.com</t>
        </is>
      </c>
    </row>
    <row r="18">
      <c r="A18" s="19" t="inlineStr">
        <is>
          <t>V017</t>
        </is>
      </c>
      <c r="B18" s="20" t="inlineStr">
        <is>
          <t>株式会社中央重工</t>
        </is>
      </c>
      <c r="C18" s="20" t="inlineStr">
        <is>
          <t>岡田智子</t>
        </is>
      </c>
      <c r="D18" s="20" t="inlineStr">
        <is>
          <t>03-1112-1208</t>
        </is>
      </c>
      <c r="E18" s="20" t="inlineStr">
        <is>
          <t>kobai017@example.com</t>
        </is>
      </c>
    </row>
    <row r="19">
      <c r="A19" s="19" t="inlineStr">
        <is>
          <t>V018</t>
        </is>
      </c>
      <c r="B19" s="20" t="inlineStr">
        <is>
          <t>株式会社港区薬品</t>
        </is>
      </c>
      <c r="C19" s="20" t="inlineStr">
        <is>
          <t>長谷川亮</t>
        </is>
      </c>
      <c r="D19" s="20" t="inlineStr">
        <is>
          <t>03-1119-1221</t>
        </is>
      </c>
      <c r="E19" s="20" t="inlineStr">
        <is>
          <t>keiri018@example.com</t>
        </is>
      </c>
    </row>
    <row r="20">
      <c r="A20" s="19" t="inlineStr">
        <is>
          <t>V019</t>
        </is>
      </c>
      <c r="B20" s="20" t="inlineStr">
        <is>
          <t>株式会社渋谷機器</t>
        </is>
      </c>
      <c r="C20" s="20" t="inlineStr">
        <is>
          <t>近藤由美</t>
        </is>
      </c>
      <c r="D20" s="20" t="inlineStr">
        <is>
          <t>03-1126-1234</t>
        </is>
      </c>
      <c r="E20" s="20" t="inlineStr">
        <is>
          <t>busin019@example.com</t>
        </is>
      </c>
    </row>
    <row r="21">
      <c r="A21" s="19" t="inlineStr">
        <is>
          <t>V020</t>
        </is>
      </c>
      <c r="B21" s="20" t="inlineStr">
        <is>
          <t>株式会社豊島フード</t>
        </is>
      </c>
      <c r="C21" s="20" t="inlineStr">
        <is>
          <t>青木誠</t>
        </is>
      </c>
      <c r="D21" s="20" t="inlineStr">
        <is>
          <t>03-1133-1247</t>
        </is>
      </c>
      <c r="E21" s="20" t="inlineStr">
        <is>
          <t>cs020@example.com</t>
        </is>
      </c>
    </row>
    <row r="22">
      <c r="A22" s="19" t="inlineStr">
        <is>
          <t>V021</t>
        </is>
      </c>
      <c r="B22" s="20" t="inlineStr">
        <is>
          <t>株式会社千代環境</t>
        </is>
      </c>
      <c r="C22" s="20" t="inlineStr">
        <is>
          <t>木村麻衣</t>
        </is>
      </c>
      <c r="D22" s="20" t="inlineStr">
        <is>
          <t>03-1140-1260</t>
        </is>
      </c>
      <c r="E22" s="20" t="inlineStr">
        <is>
          <t>sales021@example.com</t>
        </is>
      </c>
    </row>
    <row r="23">
      <c r="A23" s="19" t="inlineStr">
        <is>
          <t>V022</t>
        </is>
      </c>
      <c r="B23" s="20" t="inlineStr">
        <is>
          <t>株式会社品川サービス</t>
        </is>
      </c>
      <c r="C23" s="20" t="inlineStr">
        <is>
          <t>林聡</t>
        </is>
      </c>
      <c r="D23" s="20" t="inlineStr">
        <is>
          <t>03-1147-1273</t>
        </is>
      </c>
      <c r="E23" s="20" t="inlineStr">
        <is>
          <t>kobai022@example.com</t>
        </is>
      </c>
    </row>
    <row r="24">
      <c r="A24" s="19" t="inlineStr">
        <is>
          <t>V023</t>
        </is>
      </c>
      <c r="B24" s="20" t="inlineStr">
        <is>
          <t>株式会社県横電装</t>
        </is>
      </c>
      <c r="C24" s="20" t="inlineStr">
        <is>
          <t>清水香織</t>
        </is>
      </c>
      <c r="D24" s="20" t="inlineStr">
        <is>
          <t>03-1154-1286</t>
        </is>
      </c>
      <c r="E24" s="20" t="inlineStr">
        <is>
          <t>keiri023@example.com</t>
        </is>
      </c>
    </row>
    <row r="25">
      <c r="A25" s="19" t="inlineStr">
        <is>
          <t>V024</t>
        </is>
      </c>
      <c r="B25" s="20" t="inlineStr">
        <is>
          <t>株式会社千葉プラ</t>
        </is>
      </c>
      <c r="C25" s="20" t="inlineStr">
        <is>
          <t>斎藤隼人</t>
        </is>
      </c>
      <c r="D25" s="20" t="inlineStr">
        <is>
          <t>03-1161-1299</t>
        </is>
      </c>
      <c r="E25" s="20" t="inlineStr">
        <is>
          <t>busin024@example.com</t>
        </is>
      </c>
    </row>
    <row r="26">
      <c r="A26" s="19" t="inlineStr">
        <is>
          <t>V025</t>
        </is>
      </c>
      <c r="B26" s="20" t="inlineStr">
        <is>
          <t>株式会社さいパーツ</t>
        </is>
      </c>
      <c r="C26" s="20" t="inlineStr">
        <is>
          <t>坂本彩花</t>
        </is>
      </c>
      <c r="D26" s="20" t="inlineStr">
        <is>
          <t>03-1168-1312</t>
        </is>
      </c>
      <c r="E26" s="20" t="inlineStr">
        <is>
          <t>cs025@example.com</t>
        </is>
      </c>
    </row>
    <row r="27">
      <c r="A27" s="19" t="inlineStr">
        <is>
          <t>V026</t>
        </is>
      </c>
      <c r="B27" s="20" t="inlineStr">
        <is>
          <t>株式会社新宿物流</t>
        </is>
      </c>
      <c r="C27" s="20" t="inlineStr">
        <is>
          <t>酒井大樹</t>
        </is>
      </c>
      <c r="D27" s="20" t="inlineStr">
        <is>
          <t>03-1175-1325</t>
        </is>
      </c>
      <c r="E27" s="20" t="inlineStr">
        <is>
          <t>sales026@example.com</t>
        </is>
      </c>
    </row>
    <row r="28">
      <c r="A28" s="19" t="inlineStr">
        <is>
          <t>V027</t>
        </is>
      </c>
      <c r="B28" s="20" t="inlineStr">
        <is>
          <t>株式会社中央システム</t>
        </is>
      </c>
      <c r="C28" s="20" t="inlineStr">
        <is>
          <t>横山彩</t>
        </is>
      </c>
      <c r="D28" s="20" t="inlineStr">
        <is>
          <t>03-1182-1338</t>
        </is>
      </c>
      <c r="E28" s="20" t="inlineStr">
        <is>
          <t>kobai027@example.com</t>
        </is>
      </c>
    </row>
    <row r="29">
      <c r="A29" s="19" t="inlineStr">
        <is>
          <t>V028</t>
        </is>
      </c>
      <c r="B29" s="20" t="inlineStr">
        <is>
          <t>株式会社港区エネ</t>
        </is>
      </c>
      <c r="C29" s="20" t="inlineStr">
        <is>
          <t>藤田拓也</t>
        </is>
      </c>
      <c r="D29" s="20" t="inlineStr">
        <is>
          <t>03-1189-1351</t>
        </is>
      </c>
      <c r="E29" s="20" t="inlineStr">
        <is>
          <t>keiri028@example.com</t>
        </is>
      </c>
    </row>
    <row r="30">
      <c r="A30" s="19" t="inlineStr">
        <is>
          <t>V029</t>
        </is>
      </c>
      <c r="B30" s="20" t="inlineStr">
        <is>
          <t>株式会社渋谷農産</t>
        </is>
      </c>
      <c r="C30" s="20" t="inlineStr">
        <is>
          <t>中川萌</t>
        </is>
      </c>
      <c r="D30" s="20" t="inlineStr">
        <is>
          <t>03-1196-1364</t>
        </is>
      </c>
      <c r="E30" s="20" t="inlineStr">
        <is>
          <t>busin029@example.com</t>
        </is>
      </c>
    </row>
    <row r="31">
      <c r="A31" s="19" t="inlineStr">
        <is>
          <t>V030</t>
        </is>
      </c>
      <c r="B31" s="20" t="inlineStr">
        <is>
          <t>株式会社豊島紙器</t>
        </is>
      </c>
      <c r="C31" s="20" t="inlineStr">
        <is>
          <t>岡本幸子</t>
        </is>
      </c>
      <c r="D31" s="20" t="inlineStr">
        <is>
          <t>03-1203-1377</t>
        </is>
      </c>
      <c r="E31" s="20" t="inlineStr">
        <is>
          <t>cs030@example.com</t>
        </is>
      </c>
    </row>
    <row r="32">
      <c r="A32" s="19" t="inlineStr">
        <is>
          <t>V031</t>
        </is>
      </c>
      <c r="B32" s="20" t="inlineStr">
        <is>
          <t>株式会社千代商事</t>
        </is>
      </c>
      <c r="C32" s="20" t="inlineStr">
        <is>
          <t>松本陽介</t>
        </is>
      </c>
      <c r="D32" s="20" t="inlineStr">
        <is>
          <t>03-1210-1390</t>
        </is>
      </c>
      <c r="E32" s="20" t="inlineStr">
        <is>
          <t>sales031@example.com</t>
        </is>
      </c>
    </row>
    <row r="33">
      <c r="A33" s="19" t="inlineStr">
        <is>
          <t>V032</t>
        </is>
      </c>
      <c r="B33" s="20" t="inlineStr">
        <is>
          <t>株式会社品川工業</t>
        </is>
      </c>
      <c r="C33" s="20" t="inlineStr">
        <is>
          <t>井上彩乃</t>
        </is>
      </c>
      <c r="D33" s="20" t="inlineStr">
        <is>
          <t>03-1217-1403</t>
        </is>
      </c>
      <c r="E33" s="20" t="inlineStr">
        <is>
          <t>kobai032@example.com</t>
        </is>
      </c>
    </row>
    <row r="34">
      <c r="A34" s="19" t="inlineStr">
        <is>
          <t>V033</t>
        </is>
      </c>
      <c r="B34" s="20" t="inlineStr">
        <is>
          <t>株式会社県横サプライ</t>
        </is>
      </c>
      <c r="C34" s="20" t="inlineStr">
        <is>
          <t>木下将太</t>
        </is>
      </c>
      <c r="D34" s="20" t="inlineStr">
        <is>
          <t>03-1224-1416</t>
        </is>
      </c>
      <c r="E34" s="20" t="inlineStr">
        <is>
          <t>keiri033@example.com</t>
        </is>
      </c>
    </row>
    <row r="35">
      <c r="A35" s="19" t="inlineStr">
        <is>
          <t>V034</t>
        </is>
      </c>
      <c r="B35" s="20" t="inlineStr">
        <is>
          <t>株式会社千葉運送</t>
        </is>
      </c>
      <c r="C35" s="20" t="inlineStr">
        <is>
          <t>野口里奈</t>
        </is>
      </c>
      <c r="D35" s="20" t="inlineStr">
        <is>
          <t>03-1231-1429</t>
        </is>
      </c>
      <c r="E35" s="20" t="inlineStr">
        <is>
          <t>busin034@example.com</t>
        </is>
      </c>
    </row>
    <row r="36">
      <c r="A36" s="19" t="inlineStr">
        <is>
          <t>V035</t>
        </is>
      </c>
      <c r="B36" s="20" t="inlineStr">
        <is>
          <t>株式会社さい電機</t>
        </is>
      </c>
      <c r="C36" s="20" t="inlineStr">
        <is>
          <t>石川康平</t>
        </is>
      </c>
      <c r="D36" s="20" t="inlineStr">
        <is>
          <t>03-1238-1442</t>
        </is>
      </c>
      <c r="E36" s="20" t="inlineStr">
        <is>
          <t>cs035@example.com</t>
        </is>
      </c>
    </row>
    <row r="37">
      <c r="A37" s="19" t="inlineStr">
        <is>
          <t>V036</t>
        </is>
      </c>
      <c r="B37" s="20" t="inlineStr">
        <is>
          <t>株式会社新宿印刷</t>
        </is>
      </c>
      <c r="C37" s="20" t="inlineStr">
        <is>
          <t>山口愛美</t>
        </is>
      </c>
      <c r="D37" s="20" t="inlineStr">
        <is>
          <t>03-1245-1455</t>
        </is>
      </c>
      <c r="E37" s="20" t="inlineStr">
        <is>
          <t>sales036@example.com</t>
        </is>
      </c>
    </row>
    <row r="38">
      <c r="A38" s="19" t="inlineStr">
        <is>
          <t>V037</t>
        </is>
      </c>
      <c r="B38" s="20" t="inlineStr">
        <is>
          <t>株式会社中央商社</t>
        </is>
      </c>
      <c r="C38" s="20" t="inlineStr">
        <is>
          <t>前田雄一</t>
        </is>
      </c>
      <c r="D38" s="20" t="inlineStr">
        <is>
          <t>03-1252-1468</t>
        </is>
      </c>
      <c r="E38" s="20" t="inlineStr">
        <is>
          <t>kobai037@example.com</t>
        </is>
      </c>
    </row>
    <row r="39">
      <c r="A39" s="19" t="inlineStr">
        <is>
          <t>V038</t>
        </is>
      </c>
      <c r="B39" s="20" t="inlineStr">
        <is>
          <t>株式会社港区建設</t>
        </is>
      </c>
      <c r="C39" s="20" t="inlineStr">
        <is>
          <t>藤井麻美</t>
        </is>
      </c>
      <c r="D39" s="20" t="inlineStr">
        <is>
          <t>03-1259-1481</t>
        </is>
      </c>
      <c r="E39" s="20" t="inlineStr">
        <is>
          <t>keiri038@example.com</t>
        </is>
      </c>
    </row>
    <row r="40">
      <c r="A40" s="19" t="inlineStr">
        <is>
          <t>V039</t>
        </is>
      </c>
      <c r="B40" s="20" t="inlineStr">
        <is>
          <t>株式会社渋谷食品</t>
        </is>
      </c>
      <c r="C40" s="20" t="inlineStr">
        <is>
          <t>阿部哲也</t>
        </is>
      </c>
      <c r="D40" s="20" t="inlineStr">
        <is>
          <t>03-1266-1494</t>
        </is>
      </c>
      <c r="E40" s="20" t="inlineStr">
        <is>
          <t>busin039@example.com</t>
        </is>
      </c>
    </row>
    <row r="41">
      <c r="A41" s="19" t="inlineStr">
        <is>
          <t>V040</t>
        </is>
      </c>
      <c r="B41" s="20" t="inlineStr">
        <is>
          <t>株式会社豊島ロジ</t>
        </is>
      </c>
      <c r="C41" s="20" t="inlineStr">
        <is>
          <t>柴田紗英</t>
        </is>
      </c>
      <c r="D41" s="20" t="inlineStr">
        <is>
          <t>03-1273-1507</t>
        </is>
      </c>
      <c r="E41" s="20" t="inlineStr">
        <is>
          <t>cs040@example.com</t>
        </is>
      </c>
    </row>
    <row r="42">
      <c r="A42" s="19" t="inlineStr">
        <is>
          <t>V041</t>
        </is>
      </c>
      <c r="B42" s="20" t="inlineStr">
        <is>
          <t>株式会社千代テック</t>
        </is>
      </c>
      <c r="C42" s="20" t="inlineStr">
        <is>
          <t>岩田勇人</t>
        </is>
      </c>
      <c r="D42" s="20" t="inlineStr">
        <is>
          <t>03-1280-1520</t>
        </is>
      </c>
      <c r="E42" s="20" t="inlineStr">
        <is>
          <t>sales041@example.com</t>
        </is>
      </c>
    </row>
    <row r="43">
      <c r="A43" s="19" t="inlineStr">
        <is>
          <t>V042</t>
        </is>
      </c>
      <c r="B43" s="20" t="inlineStr">
        <is>
          <t>株式会社品川メディア</t>
        </is>
      </c>
      <c r="C43" s="20" t="inlineStr">
        <is>
          <t>北村咲</t>
        </is>
      </c>
      <c r="D43" s="20" t="inlineStr">
        <is>
          <t>03-1287-1533</t>
        </is>
      </c>
      <c r="E43" s="20" t="inlineStr">
        <is>
          <t>kobai042@example.com</t>
        </is>
      </c>
    </row>
    <row r="44">
      <c r="A44" s="19" t="inlineStr">
        <is>
          <t>V043</t>
        </is>
      </c>
      <c r="B44" s="20" t="inlineStr">
        <is>
          <t>株式会社県横販売</t>
        </is>
      </c>
      <c r="C44" s="20" t="inlineStr">
        <is>
          <t>工藤俊介</t>
        </is>
      </c>
      <c r="D44" s="20" t="inlineStr">
        <is>
          <t>03-1294-1546</t>
        </is>
      </c>
      <c r="E44" s="20" t="inlineStr">
        <is>
          <t>keiri043@example.com</t>
        </is>
      </c>
    </row>
    <row r="45">
      <c r="A45" s="19" t="inlineStr">
        <is>
          <t>V044</t>
        </is>
      </c>
      <c r="B45" s="20" t="inlineStr">
        <is>
          <t>株式会社千葉繊維</t>
        </is>
      </c>
      <c r="C45" s="20" t="inlineStr">
        <is>
          <t>黒田玲奈</t>
        </is>
      </c>
      <c r="D45" s="20" t="inlineStr">
        <is>
          <t>03-1301-1559</t>
        </is>
      </c>
      <c r="E45" s="20" t="inlineStr">
        <is>
          <t>busin044@example.com</t>
        </is>
      </c>
    </row>
    <row r="46">
      <c r="A46" s="19" t="inlineStr">
        <is>
          <t>V045</t>
        </is>
      </c>
      <c r="B46" s="20" t="inlineStr">
        <is>
          <t>株式会社さい化学</t>
        </is>
      </c>
      <c r="C46" s="20" t="inlineStr">
        <is>
          <t>上田優</t>
        </is>
      </c>
      <c r="D46" s="20" t="inlineStr">
        <is>
          <t>03-1308-1572</t>
        </is>
      </c>
      <c r="E46" s="20" t="inlineStr">
        <is>
          <t>cs045@example.com</t>
        </is>
      </c>
    </row>
    <row r="47">
      <c r="A47" s="19" t="inlineStr">
        <is>
          <t>V046</t>
        </is>
      </c>
      <c r="B47" s="20" t="inlineStr">
        <is>
          <t>株式会社新宿通信</t>
        </is>
      </c>
      <c r="C47" s="20" t="inlineStr">
        <is>
          <t>内田美月</t>
        </is>
      </c>
      <c r="D47" s="20" t="inlineStr">
        <is>
          <t>03-1315-1585</t>
        </is>
      </c>
      <c r="E47" s="20" t="inlineStr">
        <is>
          <t>sales046@example.com</t>
        </is>
      </c>
    </row>
    <row r="48">
      <c r="A48" s="19" t="inlineStr">
        <is>
          <t>V047</t>
        </is>
      </c>
      <c r="B48" s="20" t="inlineStr">
        <is>
          <t>株式会社中央重工</t>
        </is>
      </c>
      <c r="C48" s="20" t="inlineStr">
        <is>
          <t>西村寛</t>
        </is>
      </c>
      <c r="D48" s="20" t="inlineStr">
        <is>
          <t>03-1322-1598</t>
        </is>
      </c>
      <c r="E48" s="20" t="inlineStr">
        <is>
          <t>kobai047@example.com</t>
        </is>
      </c>
    </row>
    <row r="49">
      <c r="A49" s="19" t="inlineStr">
        <is>
          <t>V048</t>
        </is>
      </c>
      <c r="B49" s="20" t="inlineStr">
        <is>
          <t>株式会社港区薬品</t>
        </is>
      </c>
      <c r="C49" s="20" t="inlineStr">
        <is>
          <t>橋本七海</t>
        </is>
      </c>
      <c r="D49" s="20" t="inlineStr">
        <is>
          <t>03-1329-1611</t>
        </is>
      </c>
      <c r="E49" s="20" t="inlineStr">
        <is>
          <t>keiri048@example.com</t>
        </is>
      </c>
    </row>
    <row r="50">
      <c r="A50" s="19" t="inlineStr">
        <is>
          <t>V049</t>
        </is>
      </c>
      <c r="B50" s="20" t="inlineStr">
        <is>
          <t>株式会社渋谷機器</t>
        </is>
      </c>
      <c r="C50" s="20" t="inlineStr">
        <is>
          <t>篠田海斗</t>
        </is>
      </c>
      <c r="D50" s="20" t="inlineStr">
        <is>
          <t>03-1336-1624</t>
        </is>
      </c>
      <c r="E50" s="20" t="inlineStr">
        <is>
          <t>busin049@example.com</t>
        </is>
      </c>
    </row>
    <row r="51">
      <c r="A51" s="19" t="inlineStr">
        <is>
          <t>V050</t>
        </is>
      </c>
      <c r="B51" s="20" t="inlineStr">
        <is>
          <t>株式会社豊島フード</t>
        </is>
      </c>
      <c r="C51" s="20" t="inlineStr">
        <is>
          <t>関口結菜</t>
        </is>
      </c>
      <c r="D51" s="20" t="inlineStr">
        <is>
          <t>03-1343-1637</t>
        </is>
      </c>
      <c r="E51" s="20" t="inlineStr">
        <is>
          <t>cs050@example.com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cols>
    <col width="10" customWidth="1" min="1" max="1"/>
    <col width="36" customWidth="1" min="2" max="2"/>
    <col width="16" customWidth="1" min="3" max="3"/>
    <col width="16" customWidth="1" min="4" max="4"/>
  </cols>
  <sheetData>
    <row r="1">
      <c r="A1" s="18" t="inlineStr">
        <is>
          <t>コード</t>
        </is>
      </c>
      <c r="B1" s="18" t="inlineStr">
        <is>
          <t>案件名</t>
        </is>
      </c>
      <c r="C1" s="18" t="inlineStr">
        <is>
          <t>予算上限(税抜)</t>
        </is>
      </c>
      <c r="D1" s="18" t="inlineStr">
        <is>
          <t>責任者</t>
        </is>
      </c>
    </row>
    <row r="2">
      <c r="A2" s="21" t="inlineStr">
        <is>
          <t>P001</t>
        </is>
      </c>
      <c r="B2" s="21" t="inlineStr">
        <is>
          <t>本社オフィス移転プロジェクト</t>
        </is>
      </c>
      <c r="C2" s="22" t="n">
        <v>5000000</v>
      </c>
      <c r="D2" s="21" t="inlineStr">
        <is>
          <t>総務部 山田次郎</t>
        </is>
      </c>
    </row>
    <row r="3">
      <c r="A3" s="21" t="inlineStr">
        <is>
          <t>P002</t>
        </is>
      </c>
      <c r="B3" s="21" t="inlineStr">
        <is>
          <t>新製品ライン立ち上げ調達</t>
        </is>
      </c>
      <c r="C3" s="22" t="n">
        <v>12000000</v>
      </c>
      <c r="D3" s="21" t="inlineStr">
        <is>
          <t>生産部 田中三郎</t>
        </is>
      </c>
    </row>
    <row r="4">
      <c r="A4" s="21" t="inlineStr">
        <is>
          <t>P003</t>
        </is>
      </c>
      <c r="B4" s="21" t="inlineStr">
        <is>
          <t>営業所IT機器一括更新</t>
        </is>
      </c>
      <c r="C4" s="22" t="n">
        <v>3000000</v>
      </c>
      <c r="D4" s="21" t="inlineStr">
        <is>
          <t>IT部 鈴木四郎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D23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6" customWidth="1" min="3" max="3"/>
    <col width="16" customWidth="1" min="4" max="4"/>
    <col width="16" customWidth="1" min="5" max="5"/>
  </cols>
  <sheetData>
    <row r="2">
      <c r="B2" s="1" t="inlineStr">
        <is>
          <t>進捗ダッシュボード</t>
        </is>
      </c>
    </row>
    <row r="4">
      <c r="B4" s="23" t="inlineStr">
        <is>
          <t>【ステータス別 件数・金額】</t>
        </is>
      </c>
    </row>
    <row r="5">
      <c r="B5" s="18" t="inlineStr">
        <is>
          <t>ステータス</t>
        </is>
      </c>
      <c r="C5" s="18" t="inlineStr">
        <is>
          <t>件数</t>
        </is>
      </c>
      <c r="D5" s="18" t="inlineStr">
        <is>
          <t>金額合計(税抜)</t>
        </is>
      </c>
    </row>
    <row r="6">
      <c r="B6" s="24" t="inlineStr">
        <is>
          <t>未発注</t>
        </is>
      </c>
      <c r="C6" s="24">
        <f>COUNTIF(発注リスト!O:O,"未発注")</f>
        <v/>
      </c>
      <c r="D6" s="22">
        <f>SUMIF(発注リスト!O:O,"未発注",発注リスト!K:K)</f>
        <v/>
      </c>
    </row>
    <row r="7">
      <c r="B7" s="24" t="inlineStr">
        <is>
          <t>発注済</t>
        </is>
      </c>
      <c r="C7" s="24">
        <f>COUNTIF(発注リスト!O:O,"発注済")</f>
        <v/>
      </c>
      <c r="D7" s="22">
        <f>SUMIF(発注リスト!O:O,"発注済",発注リスト!K:K)</f>
        <v/>
      </c>
    </row>
    <row r="8">
      <c r="B8" s="24" t="inlineStr">
        <is>
          <t>納品待ち</t>
        </is>
      </c>
      <c r="C8" s="24">
        <f>COUNTIF(発注リスト!O:O,"納品待ち")</f>
        <v/>
      </c>
      <c r="D8" s="22">
        <f>SUMIF(発注リスト!O:O,"納品待ち",発注リスト!K:K)</f>
        <v/>
      </c>
    </row>
    <row r="9">
      <c r="B9" s="24" t="inlineStr">
        <is>
          <t>検収済</t>
        </is>
      </c>
      <c r="C9" s="24">
        <f>COUNTIF(発注リスト!O:O,"検収済")</f>
        <v/>
      </c>
      <c r="D9" s="22">
        <f>SUMIF(発注リスト!O:O,"検収済",発注リスト!K:K)</f>
        <v/>
      </c>
    </row>
    <row r="10">
      <c r="B10" s="24" t="inlineStr">
        <is>
          <t>完了</t>
        </is>
      </c>
      <c r="C10" s="24">
        <f>COUNTIF(発注リスト!O:O,"完了")</f>
        <v/>
      </c>
      <c r="D10" s="22">
        <f>SUMIF(発注リスト!O:O,"完了",発注リスト!K:K)</f>
        <v/>
      </c>
    </row>
    <row r="11">
      <c r="B11" s="24" t="inlineStr">
        <is>
          <t>保留</t>
        </is>
      </c>
      <c r="C11" s="24">
        <f>COUNTIF(発注リスト!O:O,"保留")</f>
        <v/>
      </c>
      <c r="D11" s="22">
        <f>SUMIF(発注リスト!O:O,"保留",発注リスト!K:K)</f>
        <v/>
      </c>
    </row>
    <row r="14">
      <c r="B14" s="23" t="inlineStr">
        <is>
          <t>【案件別 金額合計（税抜）】</t>
        </is>
      </c>
    </row>
    <row r="15">
      <c r="B15" s="18" t="inlineStr">
        <is>
          <t>案件コード</t>
        </is>
      </c>
      <c r="C15" s="18" t="inlineStr">
        <is>
          <t>案件名</t>
        </is>
      </c>
      <c r="D15" s="18" t="inlineStr">
        <is>
          <t>金額合計</t>
        </is>
      </c>
    </row>
    <row r="16">
      <c r="B16" s="24" t="inlineStr">
        <is>
          <t>P001</t>
        </is>
      </c>
      <c r="C16" s="21" t="inlineStr">
        <is>
          <t>本社オフィス移転プロジェクト</t>
        </is>
      </c>
      <c r="D16" s="22">
        <f>SUMIF(発注リスト!E:E,"P001",発注リスト!K:K)</f>
        <v/>
      </c>
    </row>
    <row r="17">
      <c r="B17" s="24" t="inlineStr">
        <is>
          <t>P002</t>
        </is>
      </c>
      <c r="C17" s="21" t="inlineStr">
        <is>
          <t>新製品ライン立ち上げ調達</t>
        </is>
      </c>
      <c r="D17" s="22">
        <f>SUMIF(発注リスト!E:E,"P002",発注リスト!K:K)</f>
        <v/>
      </c>
    </row>
    <row r="18">
      <c r="B18" s="24" t="inlineStr">
        <is>
          <t>P003</t>
        </is>
      </c>
      <c r="C18" s="21" t="inlineStr">
        <is>
          <t>営業所IT機器一括更新</t>
        </is>
      </c>
      <c r="D18" s="22">
        <f>SUMIF(発注リスト!E:E,"P003",発注リスト!K:K)</f>
        <v/>
      </c>
    </row>
    <row r="22">
      <c r="B22" s="23" t="inlineStr">
        <is>
          <t>【進捗率】</t>
        </is>
      </c>
    </row>
    <row r="23">
      <c r="B23" s="25" t="inlineStr">
        <is>
          <t>検収済以上の件数 / 全件数</t>
        </is>
      </c>
      <c r="C23" s="26">
        <f>(COUNTIF(発注リスト!O:O,"検収済")+COUNTIF(発注リスト!O:O,"完了"))/COUNTA(発注リスト!A4:A153)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C12"/>
  <sheetViews>
    <sheetView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60" customWidth="1" min="3" max="3"/>
  </cols>
  <sheetData>
    <row r="2">
      <c r="B2" s="27" t="inlineStr">
        <is>
          <t>凡例 / カラー・記号の意味</t>
        </is>
      </c>
    </row>
    <row r="4">
      <c r="B4" s="28" t="inlineStr">
        <is>
          <t>未発注</t>
        </is>
      </c>
      <c r="C4" s="6" t="inlineStr">
        <is>
          <t>これから発注を出す段階。発注書未送付</t>
        </is>
      </c>
    </row>
    <row r="5">
      <c r="B5" s="28" t="inlineStr">
        <is>
          <t>発注済</t>
        </is>
      </c>
      <c r="C5" s="6" t="inlineStr">
        <is>
          <t>発注書送付済み。納品待ちの一歩前</t>
        </is>
      </c>
    </row>
    <row r="6">
      <c r="B6" s="28" t="inlineStr">
        <is>
          <t>納品待ち</t>
        </is>
      </c>
      <c r="C6" s="6" t="inlineStr">
        <is>
          <t>取引先から発注確認済み。納品待機中</t>
        </is>
      </c>
    </row>
    <row r="7">
      <c r="B7" s="28" t="inlineStr">
        <is>
          <t>検収済</t>
        </is>
      </c>
      <c r="C7" s="6" t="inlineStr">
        <is>
          <t>納品物の検収完了。請求書受領段階</t>
        </is>
      </c>
    </row>
    <row r="8">
      <c r="B8" s="29" t="inlineStr">
        <is>
          <t>完了</t>
        </is>
      </c>
      <c r="C8" s="6" t="inlineStr">
        <is>
          <t>支払いまで完了したクローズド案件（緑表示）</t>
        </is>
      </c>
    </row>
    <row r="9">
      <c r="B9" s="30" t="inlineStr">
        <is>
          <t>保留</t>
        </is>
      </c>
      <c r="C9" s="6" t="inlineStr">
        <is>
          <t>何らかの理由で進行停止中（黄表示）</t>
        </is>
      </c>
    </row>
    <row r="12">
      <c r="B12" s="31" t="inlineStr">
        <is>
          <t>実際納期 &gt; 希望納期</t>
        </is>
      </c>
      <c r="C12" s="6" t="inlineStr">
        <is>
          <t>遅延発生 — 自動で実際納期セルが赤くなる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2026-05-12T07:28:16Z</dcterms:created>
  <dcterms:modified xmlns:dcterms="http://purl.org/dc/terms/" xmlns:xsi="http://www.w3.org/2001/XMLSchema-instance" xsi:type="dcterms:W3CDTF">2026-05-12T07:28:16Z</dcterms:modified>
</cp:coreProperties>
</file>